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16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16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ml.chartshapes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drawings/drawing37.xml" ContentType="application/vnd.openxmlformats-officedocument.drawingml.chartshapes+xml"/>
  <Override PartName="/xl/drawings/drawing38.xml" ContentType="application/vnd.openxmlformats-officedocument.drawing+xml"/>
  <Override PartName="/xl/drawings/drawing39.xml" ContentType="application/vnd.openxmlformats-officedocument.drawingml.chartshapes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ml.chartshapes+xml"/>
  <Override PartName="/xl/drawings/drawing42.xml" ContentType="application/vnd.openxmlformats-officedocument.drawing+xml"/>
  <Override PartName="/xl/drawings/drawing43.xml" ContentType="application/vnd.openxmlformats-officedocument.drawingml.chartshapes+xml"/>
  <Override PartName="/xl/drawings/drawing44.xml" ContentType="application/vnd.openxmlformats-officedocument.drawing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drawings/drawing47.xml" ContentType="application/vnd.openxmlformats-officedocument.drawingml.chartshapes+xml"/>
  <Override PartName="/xl/drawings/drawing48.xml" ContentType="application/vnd.openxmlformats-officedocument.drawing+xml"/>
  <Override PartName="/xl/drawings/drawing49.xml" ContentType="application/vnd.openxmlformats-officedocument.drawingml.chartshapes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ml.chartshapes+xml"/>
  <Override PartName="/xl/drawings/drawing52.xml" ContentType="application/vnd.openxmlformats-officedocument.drawing+xml"/>
  <Override PartName="/xl/drawings/drawing53.xml" ContentType="application/vnd.openxmlformats-officedocument.drawingml.chartshapes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drawings/drawing8.xml" ContentType="application/vnd.openxmlformats-officedocument.drawingml.chartshapes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10.xml" ContentType="application/vnd.openxmlformats-officedocument.themeOverride+xml"/>
  <Override PartName="/xl/theme/themeOverride11.xml" ContentType="application/vnd.openxmlformats-officedocument.themeOverride+xml"/>
  <Override PartName="/xl/theme/themeOverride12.xml" ContentType="application/vnd.openxmlformats-officedocument.themeOverride+xml"/>
  <Override PartName="/xl/theme/themeOverride13.xml" ContentType="application/vnd.openxmlformats-officedocument.themeOverride+xml"/>
  <Override PartName="/xl/theme/themeOverride14.xml" ContentType="application/vnd.openxmlformats-officedocument.themeOverride+xml"/>
  <Override PartName="/xl/theme/themeOverride15.xml" ContentType="application/vnd.openxmlformats-officedocument.themeOverride+xml"/>
  <Override PartName="/xl/theme/themeOverride16.xml" ContentType="application/vnd.openxmlformats-officedocument.themeOverride+xml"/>
  <Override PartName="/xl/theme/themeOverride17.xml" ContentType="application/vnd.openxmlformats-officedocument.themeOverride+xml"/>
  <Override PartName="/xl/theme/themeOverride18.xml" ContentType="application/vnd.openxmlformats-officedocument.themeOverride+xml"/>
  <Override PartName="/xl/theme/themeOverride19.xml" ContentType="application/vnd.openxmlformats-officedocument.themeOverride+xml"/>
  <Override PartName="/xl/theme/themeOverride2.xml" ContentType="application/vnd.openxmlformats-officedocument.themeOverride+xml"/>
  <Override PartName="/xl/theme/themeOverride20.xml" ContentType="application/vnd.openxmlformats-officedocument.themeOverride+xml"/>
  <Override PartName="/xl/theme/themeOverride21.xml" ContentType="application/vnd.openxmlformats-officedocument.themeOverride+xml"/>
  <Override PartName="/xl/theme/themeOverride22.xml" ContentType="application/vnd.openxmlformats-officedocument.themeOverride+xml"/>
  <Override PartName="/xl/theme/themeOverride23.xml" ContentType="application/vnd.openxmlformats-officedocument.themeOverride+xml"/>
  <Override PartName="/xl/theme/themeOverride24.xml" ContentType="application/vnd.openxmlformats-officedocument.themeOverride+xml"/>
  <Override PartName="/xl/theme/themeOverride25.xml" ContentType="application/vnd.openxmlformats-officedocument.themeOverride+xml"/>
  <Override PartName="/xl/theme/themeOverride26.xml" ContentType="application/vnd.openxmlformats-officedocument.themeOverride+xml"/>
  <Override PartName="/xl/theme/themeOverride27.xml" ContentType="application/vnd.openxmlformats-officedocument.themeOverride+xml"/>
  <Override PartName="/xl/theme/themeOverride28.xml" ContentType="application/vnd.openxmlformats-officedocument.themeOverride+xml"/>
  <Override PartName="/xl/theme/themeOverride29.xml" ContentType="application/vnd.openxmlformats-officedocument.themeOverride+xml"/>
  <Override PartName="/xl/theme/themeOverride3.xml" ContentType="application/vnd.openxmlformats-officedocument.themeOverride+xml"/>
  <Override PartName="/xl/theme/themeOverride30.xml" ContentType="application/vnd.openxmlformats-officedocument.themeOverride+xml"/>
  <Override PartName="/xl/theme/themeOverride31.xml" ContentType="application/vnd.openxmlformats-officedocument.themeOverride+xml"/>
  <Override PartName="/xl/theme/themeOverride32.xml" ContentType="application/vnd.openxmlformats-officedocument.themeOverride+xml"/>
  <Override PartName="/xl/theme/themeOverride33.xml" ContentType="application/vnd.openxmlformats-officedocument.themeOverride+xml"/>
  <Override PartName="/xl/theme/themeOverride34.xml" ContentType="application/vnd.openxmlformats-officedocument.themeOverride+xml"/>
  <Override PartName="/xl/theme/themeOverride35.xml" ContentType="application/vnd.openxmlformats-officedocument.themeOverride+xml"/>
  <Override PartName="/xl/theme/themeOverride36.xml" ContentType="application/vnd.openxmlformats-officedocument.themeOverride+xml"/>
  <Override PartName="/xl/theme/themeOverride37.xml" ContentType="application/vnd.openxmlformats-officedocument.themeOverride+xml"/>
  <Override PartName="/xl/theme/themeOverride38.xml" ContentType="application/vnd.openxmlformats-officedocument.themeOverride+xml"/>
  <Override PartName="/xl/theme/themeOverride39.xml" ContentType="application/vnd.openxmlformats-officedocument.themeOverride+xml"/>
  <Override PartName="/xl/theme/themeOverride4.xml" ContentType="application/vnd.openxmlformats-officedocument.themeOverride+xml"/>
  <Override PartName="/xl/theme/themeOverride40.xml" ContentType="application/vnd.openxmlformats-officedocument.themeOverride+xml"/>
  <Override PartName="/xl/theme/themeOverride41.xml" ContentType="application/vnd.openxmlformats-officedocument.themeOverride+xml"/>
  <Override PartName="/xl/theme/themeOverride42.xml" ContentType="application/vnd.openxmlformats-officedocument.themeOverride+xml"/>
  <Override PartName="/xl/theme/themeOverride43.xml" ContentType="application/vnd.openxmlformats-officedocument.themeOverride+xml"/>
  <Override PartName="/xl/theme/themeOverride5.xml" ContentType="application/vnd.openxmlformats-officedocument.themeOverride+xml"/>
  <Override PartName="/xl/theme/themeOverride6.xml" ContentType="application/vnd.openxmlformats-officedocument.themeOverride+xml"/>
  <Override PartName="/xl/theme/themeOverride7.xml" ContentType="application/vnd.openxmlformats-officedocument.themeOverride+xml"/>
  <Override PartName="/xl/theme/themeOverride8.xml" ContentType="application/vnd.openxmlformats-officedocument.themeOverride+xml"/>
  <Override PartName="/xl/theme/themeOverride9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260" tabRatio="730"/>
  </bookViews>
  <sheets>
    <sheet name="BGA 01_data sheet" sheetId="2" r:id="rId1"/>
    <sheet name="BGA 01_Diagrams" sheetId="20" r:id="rId2"/>
    <sheet name="BGA 01_Economy" sheetId="35" r:id="rId3"/>
    <sheet name="BGA 02_data sheet" sheetId="3" r:id="rId4"/>
    <sheet name="BGA 02_Diagrams" sheetId="21" r:id="rId5"/>
    <sheet name="BGA 02_Economy" sheetId="36" r:id="rId6"/>
    <sheet name="BGA 03_data sheet" sheetId="4" r:id="rId7"/>
    <sheet name="BGA 03_Diagrams" sheetId="22" r:id="rId8"/>
    <sheet name="BGA 03_Economy" sheetId="37" r:id="rId9"/>
    <sheet name="BGA 04_data sheet" sheetId="5" r:id="rId10"/>
    <sheet name="BGA 04_Diagrams" sheetId="23" r:id="rId11"/>
    <sheet name="BGA 04_Economy" sheetId="38" r:id="rId12"/>
    <sheet name="BGA 05_data sheet" sheetId="6" r:id="rId13"/>
    <sheet name="BGA 05_Diagrams" sheetId="24" r:id="rId14"/>
    <sheet name="BGA 06_data sheet" sheetId="7" r:id="rId15"/>
    <sheet name="BGA 06_Diagrams" sheetId="25" r:id="rId16"/>
    <sheet name="BGA 06_Economy" sheetId="39" r:id="rId17"/>
    <sheet name="BGA 07_data sheet" sheetId="8" r:id="rId18"/>
    <sheet name="BGA 07_Diagrams" sheetId="26" r:id="rId19"/>
    <sheet name="BGA 07_Economy" sheetId="40" r:id="rId20"/>
    <sheet name="BGA 08_data sheet" sheetId="11" r:id="rId21"/>
    <sheet name="BGA 08_Diagrams" sheetId="27" r:id="rId22"/>
    <sheet name="BGA 08_Economy" sheetId="41" r:id="rId23"/>
    <sheet name="BGA 09_data sheet" sheetId="48" r:id="rId24"/>
    <sheet name="BGA 09_Diagrams" sheetId="49" r:id="rId25"/>
    <sheet name="BGA 09_Economy" sheetId="50" r:id="rId26"/>
    <sheet name="BGA 10_data sheet" sheetId="51" r:id="rId27"/>
    <sheet name="BGA 10_Diagrams" sheetId="52" r:id="rId28"/>
    <sheet name="BGA 10_Economy" sheetId="53" r:id="rId29"/>
    <sheet name="BGA 11_data sheet" sheetId="54" r:id="rId30"/>
    <sheet name="BGA 11_Diagrams" sheetId="55" r:id="rId31"/>
    <sheet name="BGA 11_Economy" sheetId="56" r:id="rId32"/>
    <sheet name="BGA 12_data sheet" sheetId="57" r:id="rId33"/>
    <sheet name="BGA 12_Diagrams" sheetId="58" r:id="rId34"/>
    <sheet name="BGA 12_Economy" sheetId="59" r:id="rId35"/>
    <sheet name="BGA 13_data sheet" sheetId="60" r:id="rId36"/>
    <sheet name="BGA 13_Diagrams" sheetId="61" r:id="rId37"/>
    <sheet name="BGA 13_Economy" sheetId="62" r:id="rId38"/>
    <sheet name="BGA 14_data sheet" sheetId="63" r:id="rId39"/>
    <sheet name="BGA 14_Diagrams" sheetId="64" r:id="rId40"/>
    <sheet name="BGA 14_Economy" sheetId="65" r:id="rId41"/>
    <sheet name="BGA 15_data sheet" sheetId="66" r:id="rId42"/>
    <sheet name="BGA 15_Diagrams" sheetId="67" r:id="rId43"/>
    <sheet name="BGA15_Economy" sheetId="68" r:id="rId44"/>
    <sheet name="BGA 16_data sheet" sheetId="69" r:id="rId45"/>
    <sheet name="BGA16_Diagrams" sheetId="70" r:id="rId46"/>
    <sheet name="BGA16_Economy" sheetId="71" r:id="rId47"/>
    <sheet name="BGA 17_data sheet" sheetId="92" r:id="rId48"/>
    <sheet name="BGA17_Diagrams" sheetId="99" r:id="rId49"/>
    <sheet name="BGA 17_Economy" sheetId="100" r:id="rId50"/>
    <sheet name="BGA 18_data sheet" sheetId="93" r:id="rId51"/>
    <sheet name="BGA18_Diagrams" sheetId="114" r:id="rId52"/>
    <sheet name="BGA 18_Economy" sheetId="101" r:id="rId53"/>
    <sheet name="BGA 19_data sheet" sheetId="94" r:id="rId54"/>
    <sheet name="BGA19_Diagrams" sheetId="115" r:id="rId55"/>
    <sheet name="BGA 19_Economy" sheetId="102" r:id="rId56"/>
    <sheet name="BGA 20_data sheet" sheetId="95" r:id="rId57"/>
    <sheet name="BGA 20_Diagrams" sheetId="116" r:id="rId58"/>
    <sheet name="BGA 21_data sheet" sheetId="96" r:id="rId59"/>
    <sheet name="BGA 21_Diagrams" sheetId="117" r:id="rId60"/>
    <sheet name="BGA 22_data sheet" sheetId="97" r:id="rId61"/>
    <sheet name="BGA 22_Diagrams" sheetId="119" r:id="rId62"/>
    <sheet name="BGA22_Economy" sheetId="103" r:id="rId63"/>
    <sheet name="BGA 23_data sheet" sheetId="98" r:id="rId64"/>
    <sheet name="BGA 23_Diagrams" sheetId="118" r:id="rId65"/>
    <sheet name="BGA 23_Economy" sheetId="104" r:id="rId66"/>
    <sheet name="BGA 24_data sheet" sheetId="191" r:id="rId67"/>
    <sheet name="BGA 24_Diagrams" sheetId="192" r:id="rId68"/>
    <sheet name="BGA 24_Economy" sheetId="105" r:id="rId69"/>
    <sheet name="BGA 25_data sheet" sheetId="130" r:id="rId70"/>
    <sheet name="BGA 25_Diagrams" sheetId="129" r:id="rId71"/>
    <sheet name="BGA 25_Economy" sheetId="120" r:id="rId72"/>
    <sheet name="BGA 26_data sheet" sheetId="133" r:id="rId73"/>
    <sheet name="BGA 26_Diagrams" sheetId="132" r:id="rId74"/>
    <sheet name="BGA 27_data sheet" sheetId="136" r:id="rId75"/>
    <sheet name="BGA 27_Diagrams" sheetId="135" r:id="rId76"/>
    <sheet name="BGA 27_Economy" sheetId="121" r:id="rId77"/>
    <sheet name="BGA 28_data sheet" sheetId="139" r:id="rId78"/>
    <sheet name="BGA 28_Diagrams" sheetId="140" r:id="rId79"/>
    <sheet name="BGA 28_Economy" sheetId="122" r:id="rId80"/>
    <sheet name="BGA 29_data sheet" sheetId="142" r:id="rId81"/>
    <sheet name="BGA 29_Diagrams" sheetId="143" r:id="rId82"/>
    <sheet name="BGA 29_Economy" sheetId="123" r:id="rId83"/>
    <sheet name="BGA30_data sheet" sheetId="145" r:id="rId84"/>
    <sheet name="BGA 30_Diagrams" sheetId="146" r:id="rId85"/>
    <sheet name="BGA31_data sheet" sheetId="147" r:id="rId86"/>
    <sheet name="BGA 31_Diagrams" sheetId="149" r:id="rId87"/>
    <sheet name="BGA 31_Economy" sheetId="124" r:id="rId88"/>
    <sheet name="BGA 32_data sheet" sheetId="151" r:id="rId89"/>
    <sheet name="BGA 32_Diagrams" sheetId="152" r:id="rId90"/>
    <sheet name="BGA33_Datasheet" sheetId="12" r:id="rId91"/>
    <sheet name="BGA 33_Diagrams" sheetId="28" r:id="rId92"/>
    <sheet name="BGA 33_Economy" sheetId="42" r:id="rId93"/>
    <sheet name="BGA 34_data sheet" sheetId="13" r:id="rId94"/>
    <sheet name="BGA 34_Diagrams" sheetId="29" r:id="rId95"/>
    <sheet name="BGA 34_Economy" sheetId="43" r:id="rId96"/>
    <sheet name="BGA 35_data sheet" sheetId="14" r:id="rId97"/>
    <sheet name="BGA 35_Diagrams" sheetId="30" r:id="rId98"/>
    <sheet name="BGA 35_Economy" sheetId="44" r:id="rId99"/>
    <sheet name="BGA 36_data sheet" sheetId="15" r:id="rId100"/>
    <sheet name="BGA 36_Diagrams" sheetId="31" r:id="rId101"/>
    <sheet name="BGA 37_data sheet" sheetId="16" r:id="rId102"/>
    <sheet name="BGA 37_Diagrams" sheetId="32" r:id="rId103"/>
    <sheet name="BGA 37_Economy" sheetId="45" r:id="rId104"/>
    <sheet name="BGA 38_data sheet" sheetId="18" r:id="rId105"/>
    <sheet name="BGA 38_Diagrams" sheetId="33" r:id="rId106"/>
    <sheet name="BGA 38_Economy" sheetId="46" r:id="rId107"/>
    <sheet name="BGA 39_data sheet" sheetId="19" r:id="rId108"/>
    <sheet name="BGA 39_Diagrams" sheetId="34" r:id="rId109"/>
    <sheet name="BGA 39_Economy" sheetId="47" r:id="rId110"/>
    <sheet name="BGA 40_data sheet" sheetId="72" r:id="rId111"/>
    <sheet name="BGA 40_Diagrams" sheetId="73" r:id="rId112"/>
    <sheet name="BGA 40_Economy" sheetId="74" r:id="rId113"/>
    <sheet name="BGA 41_data sheet" sheetId="75" r:id="rId114"/>
    <sheet name="BGA 41_Diagrams" sheetId="76" r:id="rId115"/>
    <sheet name="BGA 41_Economy" sheetId="77" r:id="rId116"/>
    <sheet name="BGA 42_data sheet" sheetId="78" r:id="rId117"/>
    <sheet name="BGA 42_Diagrams" sheetId="79" r:id="rId118"/>
    <sheet name="BGA 42_Economy" sheetId="80" r:id="rId119"/>
    <sheet name="BGA 43_data sheet" sheetId="81" r:id="rId120"/>
    <sheet name="BGA 43_Diagrams" sheetId="82" r:id="rId121"/>
    <sheet name="BGA 43_Economy" sheetId="83" r:id="rId122"/>
    <sheet name="BGA 44_data sheet" sheetId="84" r:id="rId123"/>
    <sheet name="BGA 44_Diagrams" sheetId="85" r:id="rId124"/>
    <sheet name="BGA 44_Economy" sheetId="86" r:id="rId125"/>
    <sheet name="BGA 45_data sheet" sheetId="87" r:id="rId126"/>
    <sheet name="BGA 45_Diagrams" sheetId="88" r:id="rId127"/>
    <sheet name="BGA 46_data sheet" sheetId="89" r:id="rId128"/>
    <sheet name="BGA 46_Diagrams" sheetId="90" r:id="rId129"/>
    <sheet name="BGA 46_Economy" sheetId="91" r:id="rId130"/>
    <sheet name="BGA 47_data sheet" sheetId="175" r:id="rId131"/>
    <sheet name="BGA 47_Diagrams" sheetId="174" r:id="rId132"/>
    <sheet name="BGA 47_Economy" sheetId="106" r:id="rId133"/>
    <sheet name="BGA 48_data sheet" sheetId="176" r:id="rId134"/>
    <sheet name="BGA 48_Diagrams" sheetId="177" r:id="rId135"/>
    <sheet name="BGA 48_Economy" sheetId="107" r:id="rId136"/>
    <sheet name="BGA 49_data sheet" sheetId="178" r:id="rId137"/>
    <sheet name="BGA 49_Diagrams" sheetId="179" r:id="rId138"/>
    <sheet name="BGA 49_Economy" sheetId="108" r:id="rId139"/>
    <sheet name="BGA 50_data sheet" sheetId="180" r:id="rId140"/>
    <sheet name="BGA 50_Diagrams" sheetId="181" r:id="rId141"/>
    <sheet name="BGA 50_Economy" sheetId="109" r:id="rId142"/>
    <sheet name="BGA 51_data sheet" sheetId="182" r:id="rId143"/>
    <sheet name="BGA 51_Diagrams" sheetId="183" r:id="rId144"/>
    <sheet name="BGA 51_Economy" sheetId="110" r:id="rId145"/>
    <sheet name="BGA 52_data sheet" sheetId="184" r:id="rId146"/>
    <sheet name="BGA 52_Diagrams" sheetId="185" r:id="rId147"/>
    <sheet name="BGA 52_Economy" sheetId="111" r:id="rId148"/>
    <sheet name="BGA 53_data sheet" sheetId="186" r:id="rId149"/>
    <sheet name="BGA 53_Diagrams" sheetId="187" r:id="rId150"/>
    <sheet name="BGA 53_Economy" sheetId="112" r:id="rId151"/>
    <sheet name="BGA 54_data sheet" sheetId="188" r:id="rId152"/>
    <sheet name="BGA 54_Diagrams" sheetId="155" r:id="rId153"/>
    <sheet name="BGA 54_Economy" sheetId="125" r:id="rId154"/>
    <sheet name="BGA 55_data sheet" sheetId="157" r:id="rId155"/>
    <sheet name="BGA 55_Diagrams" sheetId="158" r:id="rId156"/>
    <sheet name="BGA 56_data sheet" sheetId="160" r:id="rId157"/>
    <sheet name="BGA 56_Diagrams" sheetId="161" r:id="rId158"/>
    <sheet name="BGA 56_Economy" sheetId="126" r:id="rId159"/>
    <sheet name="BGA 57_data sheet" sheetId="163" r:id="rId160"/>
    <sheet name="BGA 57_Diagrams" sheetId="162" r:id="rId161"/>
    <sheet name="BGA 57_Economy" sheetId="127" r:id="rId162"/>
    <sheet name="BGA 58_data sheet" sheetId="166" r:id="rId163"/>
    <sheet name="BGA 58_Diagrams" sheetId="165" r:id="rId164"/>
    <sheet name="BGA 59_data sheet" sheetId="169" r:id="rId165"/>
    <sheet name="BGA 59_Diagrams" sheetId="168" r:id="rId166"/>
    <sheet name="BGA 59_Economy" sheetId="128" r:id="rId167"/>
    <sheet name="BGA 60_data sheet" sheetId="172" r:id="rId168"/>
    <sheet name="BGA 60_Diagrams" sheetId="171" r:id="rId169"/>
    <sheet name="BGA 61_data sheet" sheetId="189" r:id="rId170"/>
    <sheet name="BGA 61_Diagrams" sheetId="190" r:id="rId171"/>
    <sheet name="BGA 61_Economy" sheetId="113" r:id="rId172"/>
  </sheets>
  <externalReferences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</externalReferences>
  <definedNames>
    <definedName name="Excel_BuiltIn_Print_Area_1">'[1]01'!#REF!</definedName>
    <definedName name="Excel_BuiltIn_Print_Area_10">#REF!</definedName>
    <definedName name="Excel_BuiltIn_Print_Area_11">#REF!</definedName>
    <definedName name="Excel_BuiltIn_Print_Area_12">#REF!</definedName>
    <definedName name="Excel_BuiltIn_Print_Area_13">#REF!</definedName>
    <definedName name="Excel_BuiltIn_Print_Area_14_1">[1]Einstellungen!#REF!</definedName>
    <definedName name="Excel_BuiltIn_Print_Area_2">#REF!</definedName>
    <definedName name="Excel_BuiltIn_Print_Area_2_neu">'[1]01'!#REF!</definedName>
    <definedName name="Excel_BuiltIn_Print_Area_3">#REF!</definedName>
    <definedName name="Excel_BuiltIn_Print_Area_4">#REF!</definedName>
    <definedName name="Excel_BuiltIn_Print_Area_5">#REF!</definedName>
    <definedName name="Excel_BuiltIn_Print_Area_6">#REF!</definedName>
    <definedName name="Excel_BuiltIn_Print_Area_7">#REF!</definedName>
    <definedName name="Excel_BuiltIn_Print_Area_8">#REF!</definedName>
    <definedName name="Excel_BuiltIn_Print_Area_9">#REF!</definedName>
    <definedName name="ich" localSheetId="26">#REF!</definedName>
    <definedName name="ich" localSheetId="27">#REF!</definedName>
    <definedName name="ich">#REF!</definedName>
    <definedName name="Jahresverlauf" localSheetId="151">[2]Jahresverlauf!$A$4:$BH$400</definedName>
    <definedName name="Jahresverlauf">[3]Jahresverlauf!$A$4:$AF$400</definedName>
  </definedNames>
  <calcPr calcId="144525"/>
</workbook>
</file>

<file path=xl/comments1.xml><?xml version="1.0" encoding="utf-8"?>
<comments xmlns="http://schemas.openxmlformats.org/spreadsheetml/2006/main">
  <authors>
    <author>Postel, Jan</author>
  </authors>
  <commentList>
    <comment ref="G53" authorId="0">
      <text>
        <r>
          <rPr>
            <b/>
            <sz val="9"/>
            <rFont val="Segoe UI"/>
            <charset val="134"/>
          </rPr>
          <t>Postel, Jan:</t>
        </r>
        <r>
          <rPr>
            <sz val="9"/>
            <rFont val="Segoe UI"/>
            <charset val="134"/>
          </rPr>
          <t xml:space="preserve">
März bis Nov 2017
</t>
        </r>
      </text>
    </comment>
    <comment ref="H53" authorId="0">
      <text>
        <r>
          <rPr>
            <b/>
            <sz val="9"/>
            <rFont val="Segoe UI"/>
            <charset val="134"/>
          </rPr>
          <t>Postel, Jan:</t>
        </r>
        <r>
          <rPr>
            <sz val="9"/>
            <rFont val="Segoe UI"/>
            <charset val="134"/>
          </rPr>
          <t xml:space="preserve">
Märt - Nov 2017
</t>
        </r>
      </text>
    </comment>
  </commentList>
</comments>
</file>

<file path=xl/sharedStrings.xml><?xml version="1.0" encoding="utf-8"?>
<sst xmlns="http://schemas.openxmlformats.org/spreadsheetml/2006/main" count="18259" uniqueCount="1031">
  <si>
    <t>BGA 01</t>
  </si>
  <si>
    <t>General Information:</t>
  </si>
  <si>
    <t>installed electrical power</t>
  </si>
  <si>
    <t>800kW</t>
  </si>
  <si>
    <t>Installation</t>
  </si>
  <si>
    <t>11.2007</t>
  </si>
  <si>
    <t>Period of the measurement phase</t>
  </si>
  <si>
    <t>10/2016 - 09/2017</t>
  </si>
  <si>
    <t>Substrates</t>
  </si>
  <si>
    <t>NawaRo</t>
  </si>
  <si>
    <t>Gas utilization</t>
  </si>
  <si>
    <t>1 VOV CHP</t>
  </si>
  <si>
    <t>Receive flexibility bonus</t>
  </si>
  <si>
    <t>no</t>
  </si>
  <si>
    <t>CSTR</t>
  </si>
  <si>
    <t>Mode of operation</t>
  </si>
  <si>
    <t>Community facility with 17 partners</t>
  </si>
  <si>
    <t>USR</t>
  </si>
  <si>
    <t>UASB</t>
  </si>
  <si>
    <t>Structural facilities:</t>
  </si>
  <si>
    <t>Input materials:</t>
  </si>
  <si>
    <t>Design</t>
  </si>
  <si>
    <t>fermenter</t>
  </si>
  <si>
    <t>post-fermenter</t>
  </si>
  <si>
    <t>fermenter system</t>
  </si>
  <si>
    <t>Quantities in FM</t>
  </si>
  <si>
    <t>number</t>
  </si>
  <si>
    <t>total quantity</t>
  </si>
  <si>
    <t>[t/a]</t>
  </si>
  <si>
    <t>No.</t>
  </si>
  <si>
    <t>一级发酵罐总体积（立方米）</t>
  </si>
  <si>
    <t>发酵温度（￮C）</t>
  </si>
  <si>
    <t>pH</t>
  </si>
  <si>
    <t>二级发酵罐总体积（立方米）</t>
  </si>
  <si>
    <t>沼液储存罐总体积（立方米）</t>
  </si>
  <si>
    <t>储气罐总体积（立方米）</t>
  </si>
  <si>
    <t>发酵工艺</t>
  </si>
  <si>
    <t>发酵原料</t>
  </si>
  <si>
    <t>发酵原料（吨/年）</t>
  </si>
  <si>
    <t>TS (% FM)</t>
  </si>
  <si>
    <t>VS (% of TS)</t>
  </si>
  <si>
    <t>发酵液TS （%鲜重）</t>
  </si>
  <si>
    <t>发酵液VS （%TS）</t>
  </si>
  <si>
    <t>有机负荷[kg/(m³d)]</t>
  </si>
  <si>
    <t>水力停留时间（天）</t>
  </si>
  <si>
    <t>发酵液氨氮含量（g/kg）</t>
  </si>
  <si>
    <t>发酵液总氮含量（g/kg）</t>
  </si>
  <si>
    <t>发酵液有机酸含量（mg/l）</t>
  </si>
  <si>
    <t>CHP (kW)</t>
  </si>
  <si>
    <t>工作时间（小时）</t>
  </si>
  <si>
    <t>沼气产量（m3）</t>
  </si>
  <si>
    <t>甲烷含量[vol%]</t>
  </si>
  <si>
    <t>产电量（度）</t>
  </si>
  <si>
    <t>产热量（kWh)</t>
  </si>
  <si>
    <t>reactor volume</t>
  </si>
  <si>
    <t>[m³]</t>
  </si>
  <si>
    <t>[t/d]</t>
  </si>
  <si>
    <t>volume of working</t>
  </si>
  <si>
    <t>Corn whole plant silage</t>
  </si>
  <si>
    <t>[%]</t>
  </si>
  <si>
    <t>BGA 02</t>
  </si>
  <si>
    <t>standing / lying down</t>
  </si>
  <si>
    <t>[-]</t>
  </si>
  <si>
    <t>standing</t>
  </si>
  <si>
    <t>Rye Cereal Grain</t>
  </si>
  <si>
    <t>BGA 03</t>
  </si>
  <si>
    <t>gas storage volume</t>
  </si>
  <si>
    <t>Whole-plant rye silage</t>
  </si>
  <si>
    <t>sugar beets</t>
  </si>
  <si>
    <t>Operating parameters:</t>
  </si>
  <si>
    <t>Barley Cereal Grain</t>
  </si>
  <si>
    <t>TS content in FM</t>
  </si>
  <si>
    <t/>
  </si>
  <si>
    <t>oTS content in TS</t>
  </si>
  <si>
    <t>organic space load in oTS</t>
  </si>
  <si>
    <t>[kg/(m³d)]</t>
  </si>
  <si>
    <t>feedstock mix</t>
  </si>
  <si>
    <t xml:space="preserve"> </t>
  </si>
  <si>
    <t>dwell time</t>
  </si>
  <si>
    <t>[d]</t>
  </si>
  <si>
    <t>average dry matter content in FM</t>
  </si>
  <si>
    <t>oTS degradation</t>
  </si>
  <si>
    <r>
      <rPr>
        <sz val="10"/>
        <color rgb="FFFF0000"/>
        <rFont val="宋体"/>
        <charset val="134"/>
        <scheme val="minor"/>
      </rPr>
      <t>90</t>
    </r>
    <r>
      <rPr>
        <vertAlign val="subscript"/>
        <sz val="10"/>
        <color rgb="FFFF0000"/>
        <rFont val="宋体"/>
        <charset val="134"/>
        <scheme val="minor"/>
      </rPr>
      <t>GSY</t>
    </r>
  </si>
  <si>
    <t>average oTS content in TS</t>
  </si>
  <si>
    <t>FoTS yield</t>
  </si>
  <si>
    <r>
      <rPr>
        <sz val="10"/>
        <color rgb="FFFF0000"/>
        <rFont val="宋体"/>
        <charset val="134"/>
        <scheme val="minor"/>
      </rPr>
      <t>111</t>
    </r>
    <r>
      <rPr>
        <vertAlign val="subscript"/>
        <sz val="10"/>
        <color rgb="FFFF0000"/>
        <rFont val="宋体"/>
        <charset val="134"/>
        <scheme val="minor"/>
      </rPr>
      <t>GSY</t>
    </r>
  </si>
  <si>
    <t>mean FoTS content in TS</t>
  </si>
  <si>
    <r>
      <rPr>
        <sz val="10"/>
        <rFont val="宋体"/>
        <charset val="134"/>
        <scheme val="minor"/>
      </rPr>
      <t>CH</t>
    </r>
    <r>
      <rPr>
        <vertAlign val="subscript"/>
        <sz val="10"/>
        <rFont val="宋体"/>
        <charset val="134"/>
        <scheme val="minor"/>
      </rPr>
      <t>4</t>
    </r>
    <r>
      <rPr>
        <sz val="10"/>
        <rFont val="宋体"/>
        <charset val="134"/>
        <scheme val="minor"/>
      </rPr>
      <t>-Productivity</t>
    </r>
  </si>
  <si>
    <r>
      <rPr>
        <sz val="10"/>
        <rFont val="宋体"/>
        <charset val="134"/>
        <scheme val="minor"/>
      </rPr>
      <t>[m³</t>
    </r>
    <r>
      <rPr>
        <sz val="10"/>
        <rFont val="Calibri"/>
        <charset val="134"/>
      </rPr>
      <t>/(m³ d)]</t>
    </r>
  </si>
  <si>
    <r>
      <rPr>
        <sz val="10"/>
        <color rgb="FFFF0000"/>
        <rFont val="宋体"/>
        <charset val="134"/>
        <scheme val="minor"/>
      </rPr>
      <t>1.0</t>
    </r>
    <r>
      <rPr>
        <vertAlign val="subscript"/>
        <sz val="10"/>
        <color rgb="FFFF0000"/>
        <rFont val="宋体"/>
        <charset val="134"/>
        <scheme val="minor"/>
      </rPr>
      <t>FS</t>
    </r>
  </si>
  <si>
    <t>BG productivity</t>
  </si>
  <si>
    <t>[m³ /(m³ d)]</t>
  </si>
  <si>
    <r>
      <rPr>
        <sz val="10"/>
        <color rgb="FFFF0000"/>
        <rFont val="宋体"/>
        <charset val="134"/>
        <scheme val="minor"/>
      </rPr>
      <t>2.0</t>
    </r>
    <r>
      <rPr>
        <vertAlign val="subscript"/>
        <sz val="10"/>
        <color rgb="FFFF0000"/>
        <rFont val="宋体"/>
        <charset val="134"/>
        <scheme val="minor"/>
      </rPr>
      <t>FS</t>
    </r>
  </si>
  <si>
    <t>Digestate storage:</t>
  </si>
  <si>
    <t>temperature</t>
  </si>
  <si>
    <t>[°C]</t>
  </si>
  <si>
    <t>Storage capacity gas-tight</t>
  </si>
  <si>
    <r>
      <rPr>
        <sz val="10"/>
        <color theme="1"/>
        <rFont val="宋体"/>
        <charset val="134"/>
        <scheme val="minor"/>
      </rPr>
      <t>NH</t>
    </r>
    <r>
      <rPr>
        <vertAlign val="subscript"/>
        <sz val="10"/>
        <color theme="1"/>
        <rFont val="宋体"/>
        <charset val="134"/>
        <scheme val="minor"/>
      </rPr>
      <t>4</t>
    </r>
    <r>
      <rPr>
        <sz val="10"/>
        <color theme="1"/>
        <rFont val="宋体"/>
        <charset val="134"/>
        <scheme val="minor"/>
      </rPr>
      <t>-N in FM</t>
    </r>
  </si>
  <si>
    <t>[g/kg]</t>
  </si>
  <si>
    <t>camp cap. not gas tight / open</t>
  </si>
  <si>
    <r>
      <rPr>
        <sz val="10"/>
        <color theme="1"/>
        <rFont val="宋体"/>
        <charset val="134"/>
        <scheme val="minor"/>
      </rPr>
      <t>N</t>
    </r>
    <r>
      <rPr>
        <vertAlign val="subscript"/>
        <sz val="10"/>
        <color theme="1"/>
        <rFont val="宋体"/>
        <charset val="134"/>
        <scheme val="minor"/>
      </rPr>
      <t>total</t>
    </r>
    <r>
      <rPr>
        <sz val="10"/>
        <color theme="1"/>
        <rFont val="宋体"/>
        <charset val="134"/>
        <scheme val="minor"/>
      </rPr>
      <t>-N in FM</t>
    </r>
  </si>
  <si>
    <t>Acetic acid equivalent in FM</t>
  </si>
  <si>
    <t>[mg/l]</t>
  </si>
  <si>
    <t>relative residual methane potential</t>
  </si>
  <si>
    <t>FOS/TAC</t>
  </si>
  <si>
    <t>DM content in the digestate in FM</t>
  </si>
  <si>
    <t>oDM content in the digestate in DM</t>
  </si>
  <si>
    <t>gas utilization:</t>
  </si>
  <si>
    <t>gas production:</t>
  </si>
  <si>
    <t>Measurement</t>
  </si>
  <si>
    <t>before AKF</t>
  </si>
  <si>
    <t>Net Methane Utilization</t>
  </si>
  <si>
    <t>gas composition</t>
  </si>
  <si>
    <t>[vol%]</t>
  </si>
  <si>
    <r>
      <rPr>
        <sz val="10"/>
        <color theme="1"/>
        <rFont val="宋体"/>
        <charset val="134"/>
        <scheme val="minor"/>
      </rPr>
      <t>CH</t>
    </r>
    <r>
      <rPr>
        <vertAlign val="subscript"/>
        <sz val="10"/>
        <color theme="1"/>
        <rFont val="宋体"/>
        <charset val="134"/>
        <scheme val="minor"/>
      </rPr>
      <t>4</t>
    </r>
  </si>
  <si>
    <t>CHP 1</t>
  </si>
  <si>
    <r>
      <rPr>
        <sz val="10"/>
        <color theme="1"/>
        <rFont val="宋体"/>
        <charset val="134"/>
        <scheme val="minor"/>
      </rPr>
      <t>CO</t>
    </r>
    <r>
      <rPr>
        <vertAlign val="subscript"/>
        <sz val="10"/>
        <color theme="1"/>
        <rFont val="宋体"/>
        <charset val="134"/>
        <scheme val="minor"/>
      </rPr>
      <t>2</t>
    </r>
  </si>
  <si>
    <t>-</t>
  </si>
  <si>
    <t>engine type</t>
  </si>
  <si>
    <t>GO</t>
  </si>
  <si>
    <r>
      <rPr>
        <sz val="10"/>
        <color theme="1"/>
        <rFont val="宋体"/>
        <charset val="134"/>
        <scheme val="minor"/>
      </rPr>
      <t>O</t>
    </r>
    <r>
      <rPr>
        <vertAlign val="subscript"/>
        <sz val="10"/>
        <color theme="1"/>
        <rFont val="宋体"/>
        <charset val="134"/>
        <scheme val="minor"/>
      </rPr>
      <t>2</t>
    </r>
  </si>
  <si>
    <t>electr. rated capacity</t>
  </si>
  <si>
    <t>[kW]</t>
  </si>
  <si>
    <t>[ppm]</t>
  </si>
  <si>
    <r>
      <rPr>
        <sz val="10"/>
        <color theme="1"/>
        <rFont val="宋体"/>
        <charset val="134"/>
        <scheme val="minor"/>
      </rPr>
      <t>H</t>
    </r>
    <r>
      <rPr>
        <vertAlign val="subscript"/>
        <sz val="10"/>
        <color theme="1"/>
        <rFont val="宋体"/>
        <charset val="134"/>
        <scheme val="minor"/>
      </rPr>
      <t>2</t>
    </r>
    <r>
      <rPr>
        <sz val="10"/>
        <color theme="1"/>
        <rFont val="宋体"/>
        <charset val="134"/>
        <scheme val="minor"/>
      </rPr>
      <t>S</t>
    </r>
  </si>
  <si>
    <t>thermal nominal power</t>
  </si>
  <si>
    <t>Average gas yields feedstock mix</t>
  </si>
  <si>
    <t>electr. efficiency</t>
  </si>
  <si>
    <t>biogas</t>
  </si>
  <si>
    <t>methane</t>
  </si>
  <si>
    <t>thermal efficiency</t>
  </si>
  <si>
    <t>[m³/ t ] in FM</t>
  </si>
  <si>
    <t>Mode of operation CHP</t>
  </si>
  <si>
    <t>full load</t>
  </si>
  <si>
    <t>[m³/t] in oTS</t>
  </si>
  <si>
    <t>annual operating hours</t>
  </si>
  <si>
    <t>[H/a]</t>
  </si>
  <si>
    <t>electricity production</t>
  </si>
  <si>
    <t>theoretical full load hours</t>
  </si>
  <si>
    <t>[kWh/day]</t>
  </si>
  <si>
    <t>electr. labor exploitation</t>
  </si>
  <si>
    <t>[kWh/t]</t>
  </si>
  <si>
    <t>GO - gas Otto engine; ZS - ignition jet engine; BG - Biogas</t>
  </si>
  <si>
    <t>Own power requirement:</t>
  </si>
  <si>
    <t>heat recovery:</t>
  </si>
  <si>
    <t>[kWh/a]</t>
  </si>
  <si>
    <t>BGA total</t>
  </si>
  <si>
    <t>[% of electricity production]</t>
  </si>
  <si>
    <t>Personal use BGA</t>
  </si>
  <si>
    <t>[% of heat production]</t>
  </si>
  <si>
    <t>Local heating network including dryer</t>
  </si>
  <si>
    <t>Please adjust months if started earlier (leave abbreviations as they are!)</t>
  </si>
  <si>
    <t>Please do not change the substrate name arbitrarily -&gt; otherwise the colors in the diagram will not match. Add name to the end of substrates not listed</t>
  </si>
  <si>
    <t>Delete unnecessary substrates from diagram and adjust colors if necessary (standard substrates are already colour-adjusted); adjust legend size; If farm fertilizers are added, they are in order downwards</t>
  </si>
  <si>
    <t>Month</t>
  </si>
  <si>
    <t>cattle manure</t>
  </si>
  <si>
    <t>Oat grain and cereal grain</t>
  </si>
  <si>
    <t>grass silage</t>
  </si>
  <si>
    <t>green rye silage</t>
  </si>
  <si>
    <t>Substrate name</t>
  </si>
  <si>
    <t>turkey manure</t>
  </si>
  <si>
    <t>wheat bran</t>
  </si>
  <si>
    <t>Rye Grain and Cereal Grain</t>
  </si>
  <si>
    <t>barley grain and cereal grain</t>
  </si>
  <si>
    <t>TOTAL</t>
  </si>
  <si>
    <t>Validation 100%</t>
  </si>
  <si>
    <t>Oct</t>
  </si>
  <si>
    <t>Nov</t>
  </si>
  <si>
    <t>dec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</si>
  <si>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</si>
  <si>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</si>
  <si>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</si>
  <si>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</si>
  <si>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</si>
  <si>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</si>
  <si>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</si>
  <si>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</si>
  <si>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</si>
  <si>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fermenter 2</t>
  </si>
  <si>
    <t>Heat foreign users</t>
  </si>
  <si>
    <t>electricity prod.</t>
  </si>
  <si>
    <t>maximum rated power</t>
  </si>
  <si>
    <t>Thermal rating</t>
  </si>
  <si>
    <t>Electrical Utilization</t>
  </si>
  <si>
    <t>Thermal utilization by third-party users</t>
  </si>
  <si>
    <t>[kWh/month]</t>
  </si>
  <si>
    <t>monthly hours</t>
  </si>
  <si>
    <t>kW</t>
  </si>
  <si>
    <t>amount of electricity fed into the grid in 2017</t>
  </si>
  <si>
    <t>kWh</t>
  </si>
  <si>
    <t>maximum rated electrical power</t>
  </si>
  <si>
    <t>total investment volume</t>
  </si>
  <si>
    <t>€</t>
  </si>
  <si>
    <t>Services</t>
  </si>
  <si>
    <t>Electricity revenue (excluding CHP bonus)</t>
  </si>
  <si>
    <t>%</t>
  </si>
  <si>
    <t>€/a</t>
  </si>
  <si>
    <t>Heat revenue (including CHP bonus)</t>
  </si>
  <si>
    <t>other income</t>
  </si>
  <si>
    <t>total proceeds</t>
  </si>
  <si>
    <t>Costs</t>
  </si>
  <si>
    <t>substrate costs</t>
  </si>
  <si>
    <t>Energy crops</t>
  </si>
  <si>
    <t>Corn</t>
  </si>
  <si>
    <t>€/t</t>
  </si>
  <si>
    <t>grass</t>
  </si>
  <si>
    <t>Remaining energy crops</t>
  </si>
  <si>
    <t>personnel costs</t>
  </si>
  <si>
    <t>maintenance costs</t>
  </si>
  <si>
    <t>depreciation</t>
  </si>
  <si>
    <t>Other operating costs</t>
  </si>
  <si>
    <t>from that</t>
  </si>
  <si>
    <t>ignition oil</t>
  </si>
  <si>
    <t>electricity purchase</t>
  </si>
  <si>
    <t>rent and lease</t>
  </si>
  <si>
    <t>Machine rental and leasing</t>
  </si>
  <si>
    <t>Process support and advice</t>
  </si>
  <si>
    <t>Insurance, contributions and taxes</t>
  </si>
  <si>
    <t>trade association</t>
  </si>
  <si>
    <t>Otherwise. Lubricants and consumables</t>
  </si>
  <si>
    <t>interest payments</t>
  </si>
  <si>
    <t>accounting and administration</t>
  </si>
  <si>
    <t>Miscellaneous</t>
  </si>
  <si>
    <t>total cost</t>
  </si>
  <si>
    <t>balance sheet</t>
  </si>
  <si>
    <t>electricity income</t>
  </si>
  <si>
    <t>cents/kWh</t>
  </si>
  <si>
    <t>electricity generation costs</t>
  </si>
  <si>
    <t>Revenue per unit</t>
  </si>
  <si>
    <t>Total revenue</t>
  </si>
  <si>
    <t>ingredients</t>
  </si>
  <si>
    <t>gas utilization</t>
  </si>
  <si>
    <t>mode of operation</t>
  </si>
  <si>
    <t>designation</t>
  </si>
  <si>
    <t>volume of work</t>
  </si>
  <si>
    <r>
      <rPr>
        <sz val="10"/>
        <color theme="1"/>
        <rFont val="宋体"/>
        <charset val="134"/>
        <scheme val="minor"/>
      </rPr>
      <t>93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</si>
  <si>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111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</si>
  <si>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0.9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</si>
  <si>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1.8</t>
    </r>
    <r>
      <rPr>
        <vertAlign val="subscript"/>
        <sz val="10"/>
        <color theme="1"/>
        <rFont val="宋体"/>
        <charset val="134"/>
        <scheme val="minor"/>
      </rPr>
      <t>FS</t>
    </r>
  </si>
  <si>
    <t>after AKF</t>
  </si>
  <si>
    <t>[Ha]</t>
  </si>
  <si>
    <t>thereof costs for NawaRo</t>
  </si>
  <si>
    <t>Remaining NawaRo</t>
  </si>
  <si>
    <t>branch result</t>
  </si>
  <si>
    <t>400kW</t>
  </si>
  <si>
    <t>11.2009</t>
  </si>
  <si>
    <t>NawaRo, farm fertilizer</t>
  </si>
  <si>
    <t>Single farm, connected farm with dairy cattle and arable farming</t>
  </si>
  <si>
    <t>total annual amount</t>
  </si>
  <si>
    <t>total daily amount</t>
  </si>
  <si>
    <t>Triticale whole plant silage</t>
  </si>
  <si>
    <t>Barley whole plant silage</t>
  </si>
  <si>
    <r>
      <rPr>
        <sz val="10"/>
        <color theme="1"/>
        <rFont val="宋体"/>
        <charset val="134"/>
        <scheme val="minor"/>
      </rPr>
      <t>75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</si>
  <si>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109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</si>
  <si>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0.8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</si>
  <si>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1.5</t>
    </r>
    <r>
      <rPr>
        <vertAlign val="subscript"/>
        <sz val="10"/>
        <color theme="1"/>
        <rFont val="宋体"/>
        <charset val="134"/>
        <scheme val="minor"/>
      </rPr>
      <t>FS</t>
    </r>
  </si>
  <si>
    <t>35 - 43</t>
  </si>
  <si>
    <t>drying</t>
  </si>
  <si>
    <t>apartment buildings</t>
  </si>
  <si>
    <t>fermenter 1</t>
  </si>
  <si>
    <t>BGA 04</t>
  </si>
  <si>
    <t>590kW</t>
  </si>
  <si>
    <t>05.2011</t>
  </si>
  <si>
    <t>1 VOV CHP, 1 satellite CHP</t>
  </si>
  <si>
    <t>Community facility with 3 operators, affiliated farms with dairy cattle farming and arable farming</t>
  </si>
  <si>
    <t>3700</t>
  </si>
  <si>
    <t>660</t>
  </si>
  <si>
    <r>
      <rPr>
        <sz val="10"/>
        <color theme="1"/>
        <rFont val="宋体"/>
        <charset val="134"/>
        <scheme val="minor"/>
      </rPr>
      <t>1.9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</si>
  <si>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89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</si>
  <si>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79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</si>
  <si>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108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</si>
  <si>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0.7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</si>
  <si>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1.4</t>
    </r>
    <r>
      <rPr>
        <vertAlign val="subscript"/>
        <sz val="10"/>
        <color theme="1"/>
        <rFont val="宋体"/>
        <charset val="134"/>
        <scheme val="minor"/>
      </rPr>
      <t>FS</t>
    </r>
  </si>
  <si>
    <t>CHP 2</t>
  </si>
  <si>
    <t>local heating network</t>
  </si>
  <si>
    <t>Mixture of corn and rye whole plant silage</t>
  </si>
  <si>
    <t>BGA 05</t>
  </si>
  <si>
    <t>430kW</t>
  </si>
  <si>
    <t>12.2001</t>
  </si>
  <si>
    <t>11/2016 - 10/2017</t>
  </si>
  <si>
    <t>2 VOV CHP</t>
  </si>
  <si>
    <t>Yes</t>
  </si>
  <si>
    <t>Single farm, attached farm with pig fattening and arable farming</t>
  </si>
  <si>
    <t>hydrolysis</t>
  </si>
  <si>
    <t>200</t>
  </si>
  <si>
    <t>2100</t>
  </si>
  <si>
    <t>1060</t>
  </si>
  <si>
    <t>Corn cob mix</t>
  </si>
  <si>
    <t>0</t>
  </si>
  <si>
    <t>600</t>
  </si>
  <si>
    <t>300</t>
  </si>
  <si>
    <t>pig manure</t>
  </si>
  <si>
    <t>Silo leachate/surface wt.</t>
  </si>
  <si>
    <t>Fixed proportion of digestate</t>
  </si>
  <si>
    <r>
      <rPr>
        <sz val="10"/>
        <color theme="1"/>
        <rFont val="宋体"/>
        <charset val="134"/>
        <scheme val="minor"/>
      </rPr>
      <t>1.7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</si>
  <si>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114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</si>
  <si>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88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</si>
  <si>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98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</si>
  <si>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0.6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</si>
  <si>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1.0</t>
    </r>
    <r>
      <rPr>
        <vertAlign val="subscript"/>
        <sz val="10"/>
        <color theme="1"/>
        <rFont val="宋体"/>
        <charset val="134"/>
        <scheme val="minor"/>
      </rPr>
      <t>FS</t>
    </r>
  </si>
  <si>
    <t>before CHP</t>
  </si>
  <si>
    <t>ZS</t>
  </si>
  <si>
    <t>agricultural Yard including drying</t>
  </si>
  <si>
    <t>Silo leachate</t>
  </si>
  <si>
    <t>BGA 06</t>
  </si>
  <si>
    <t>2,770kW</t>
  </si>
  <si>
    <t>10.2007</t>
  </si>
  <si>
    <t>4 VOV CHP, 1 satellite CHP</t>
  </si>
  <si>
    <t>Community facility with 3 operators, affiliated farms with crops and animal husbandry</t>
  </si>
  <si>
    <t>Mix grass and green rye silage</t>
  </si>
  <si>
    <r>
      <rPr>
        <sz val="10"/>
        <color theme="1"/>
        <rFont val="宋体"/>
        <charset val="134"/>
        <scheme val="minor"/>
      </rPr>
      <t>4.1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</si>
  <si>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73</t>
    </r>
    <r>
      <rPr>
        <vertAlign val="subscript"/>
        <sz val="10"/>
        <color theme="1"/>
        <rFont val="宋体"/>
        <charset val="134"/>
        <scheme val="minor"/>
      </rPr>
      <t>FS</t>
    </r>
  </si>
  <si>
    <t>FoTS degradation</t>
  </si>
  <si>
    <r>
      <rPr>
        <sz val="10"/>
        <color theme="1"/>
        <rFont val="宋体"/>
        <charset val="134"/>
        <scheme val="minor"/>
      </rPr>
      <t>110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</si>
  <si>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3.2</t>
    </r>
    <r>
      <rPr>
        <vertAlign val="subscript"/>
        <sz val="10"/>
        <color theme="1"/>
        <rFont val="宋体"/>
        <charset val="134"/>
        <scheme val="minor"/>
      </rPr>
      <t>FS</t>
    </r>
  </si>
  <si>
    <t>CHP 3</t>
  </si>
  <si>
    <t>CHP 4</t>
  </si>
  <si>
    <t>CHP 5</t>
  </si>
  <si>
    <t>start-stop</t>
  </si>
  <si>
    <t>Local heating network BGA with dryer</t>
  </si>
  <si>
    <t>Local heating network satellite location</t>
  </si>
  <si>
    <t>Mixed silage grass + green rye</t>
  </si>
  <si>
    <t>trace elements</t>
  </si>
  <si>
    <r>
      <rPr>
        <sz val="11"/>
        <color theme="1"/>
        <rFont val="宋体"/>
        <charset val="134"/>
        <scheme val="minor"/>
      </rPr>
      <t>substrate costs</t>
    </r>
    <r>
      <rPr>
        <vertAlign val="superscript"/>
        <sz val="11"/>
        <color theme="1"/>
        <rFont val="宋体"/>
        <charset val="134"/>
        <scheme val="minor"/>
      </rPr>
      <t>1</t>
    </r>
  </si>
  <si>
    <r>
      <rPr>
        <sz val="11"/>
        <color theme="1"/>
        <rFont val="宋体"/>
        <charset val="134"/>
        <scheme val="minor"/>
      </rPr>
      <t>Other operating costs</t>
    </r>
    <r>
      <rPr>
        <vertAlign val="superscript"/>
        <sz val="11"/>
        <color theme="1"/>
        <rFont val="宋体"/>
        <charset val="134"/>
        <scheme val="minor"/>
      </rPr>
      <t>2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</si>
  <si>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no differentiation according to individual substrate batches possible</t>
    </r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</si>
  <si>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Total also includes the costs of transporting the digestate in the amount of €63,376/a</t>
    </r>
  </si>
  <si>
    <t>BGA 07</t>
  </si>
  <si>
    <t>265kW</t>
  </si>
  <si>
    <t>12.2007</t>
  </si>
  <si>
    <t>1 VOV CHP, raw biogas sale to 1 satellite CHP (not part of the operation)</t>
  </si>
  <si>
    <t>Single farm, connected farm with arable farming, dairy farming and cattle fattening</t>
  </si>
  <si>
    <t>21,460</t>
  </si>
  <si>
    <t>Corn silage + sugar beets 2:1</t>
  </si>
  <si>
    <r>
      <rPr>
        <sz val="10"/>
        <color theme="1"/>
        <rFont val="宋体"/>
        <charset val="134"/>
        <scheme val="minor"/>
      </rPr>
      <t>3.8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</si>
  <si>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51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</si>
  <si>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74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</si>
  <si>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91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</si>
  <si>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1.2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</si>
  <si>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2.5</t>
    </r>
    <r>
      <rPr>
        <vertAlign val="subscript"/>
        <sz val="10"/>
        <color theme="1"/>
        <rFont val="宋体"/>
        <charset val="134"/>
        <scheme val="minor"/>
      </rPr>
      <t>FS</t>
    </r>
  </si>
  <si>
    <t>raw biogas sales</t>
  </si>
  <si>
    <t>[m³/h]</t>
  </si>
  <si>
    <t>Mixture of corn-whole crop silage and rye-whole crop silage</t>
  </si>
  <si>
    <r>
      <rPr>
        <sz val="11"/>
        <rFont val="宋体"/>
        <charset val="134"/>
        <scheme val="minor"/>
      </rPr>
      <t>amount of electricity fed into the grid in 2016/17</t>
    </r>
    <r>
      <rPr>
        <vertAlign val="superscript"/>
        <sz val="11"/>
        <rFont val="宋体"/>
        <charset val="134"/>
        <scheme val="minor"/>
      </rPr>
      <t>2</t>
    </r>
  </si>
  <si>
    <r>
      <rPr>
        <sz val="11"/>
        <rFont val="宋体"/>
        <charset val="134"/>
        <scheme val="minor"/>
      </rPr>
      <t>maximum rated electrical power</t>
    </r>
    <r>
      <rPr>
        <vertAlign val="superscript"/>
        <sz val="11"/>
        <rFont val="宋体"/>
        <charset val="134"/>
        <scheme val="minor"/>
      </rPr>
      <t>1</t>
    </r>
  </si>
  <si>
    <t>Other revenues (raw biogas)</t>
  </si>
  <si>
    <r>
      <rPr>
        <sz val="11"/>
        <color theme="1"/>
        <rFont val="宋体"/>
        <charset val="134"/>
        <scheme val="minor"/>
      </rPr>
      <t>Other operating costs</t>
    </r>
    <r>
      <rPr>
        <vertAlign val="superscript"/>
        <sz val="11"/>
        <color theme="1"/>
        <rFont val="宋体"/>
        <charset val="134"/>
        <scheme val="minor"/>
      </rPr>
      <t>3</t>
    </r>
  </si>
  <si>
    <r>
      <rPr>
        <i/>
        <sz val="11"/>
        <color theme="1"/>
        <rFont val="宋体"/>
        <charset val="134"/>
        <scheme val="minor"/>
      </rPr>
      <t>interest payments</t>
    </r>
    <r>
      <rPr>
        <i/>
        <vertAlign val="superscript"/>
        <sz val="11"/>
        <color theme="1"/>
        <rFont val="宋体"/>
        <charset val="134"/>
        <scheme val="minor"/>
      </rPr>
      <t>4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</si>
  <si>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statement operator</t>
    </r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</si>
  <si>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amount of electricity fed in on site: 2,030,479 kWh; plus calculated equivalent of raw biogas: 3,322,451 kWh</t>
    </r>
  </si>
  <si>
    <r>
      <rPr>
        <vertAlign val="superscript"/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Total also includes the costs of transporting the digestate in the amount of 15,402 €/a</t>
    </r>
  </si>
  <si>
    <r>
      <rPr>
        <vertAlign val="superscript"/>
        <sz val="11"/>
        <color theme="1"/>
        <rFont val="宋体"/>
        <charset val="134"/>
        <scheme val="minor"/>
      </rPr>
      <t>4</t>
    </r>
    <r>
      <rPr>
        <sz val="11"/>
        <color theme="1"/>
        <rFont val="宋体"/>
        <charset val="134"/>
        <scheme val="minor"/>
      </rPr>
      <t>Estimation of the interest payments from the information on loan volume, loan term and annual percentage rate</t>
    </r>
  </si>
  <si>
    <t>BGA 08</t>
  </si>
  <si>
    <t>504kW</t>
  </si>
  <si>
    <t>12.2011</t>
  </si>
  <si>
    <t>Single farm, connected farm with crops and pig fattening</t>
  </si>
  <si>
    <t>iron supplements</t>
  </si>
  <si>
    <r>
      <rPr>
        <sz val="10"/>
        <color theme="1"/>
        <rFont val="宋体"/>
        <charset val="134"/>
        <scheme val="minor"/>
      </rPr>
      <t>2.3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</si>
  <si>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113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</si>
  <si>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85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</si>
  <si>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106</t>
    </r>
    <r>
      <rPr>
        <vertAlign val="subscript"/>
        <sz val="10"/>
        <color theme="1"/>
        <rFont val="宋体"/>
        <charset val="134"/>
        <scheme val="minor"/>
      </rPr>
      <t>GSY</t>
    </r>
  </si>
  <si>
    <t>32 - 44</t>
  </si>
  <si>
    <t>(8.183)</t>
  </si>
  <si>
    <t>( 93 )</t>
  </si>
  <si>
    <t>pigsties</t>
  </si>
  <si>
    <t>iron slime</t>
  </si>
  <si>
    <t>BGA 09</t>
  </si>
  <si>
    <t>562kW</t>
  </si>
  <si>
    <t>09/2016 - 08/2017</t>
  </si>
  <si>
    <t>NawaRo, animal excrement</t>
  </si>
  <si>
    <t>Connection to agricultural operations with dairy cattle farming and arable farming</t>
  </si>
  <si>
    <t>corn silage</t>
  </si>
  <si>
    <t>grain meal</t>
  </si>
  <si>
    <t>water (stable rinse water)</t>
  </si>
  <si>
    <r>
      <rPr>
        <sz val="10"/>
        <color theme="1"/>
        <rFont val="宋体"/>
        <charset val="134"/>
        <scheme val="minor"/>
      </rPr>
      <t>120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</si>
  <si>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81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</si>
  <si>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146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</si>
  <si>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CH</t>
    </r>
    <r>
      <rPr>
        <vertAlign val="subscript"/>
        <sz val="10"/>
        <rFont val="宋体"/>
        <charset val="134"/>
        <scheme val="minor"/>
      </rPr>
      <t>4</t>
    </r>
    <r>
      <rPr>
        <sz val="10"/>
        <rFont val="宋体"/>
        <charset val="134"/>
        <scheme val="minor"/>
      </rPr>
      <t>-Productivity</t>
    </r>
  </si>
  <si>
    <r>
      <rPr>
        <sz val="10"/>
        <color theme="1"/>
        <rFont val="宋体"/>
        <charset val="134"/>
        <scheme val="minor"/>
      </rPr>
      <t>0.5</t>
    </r>
    <r>
      <rPr>
        <vertAlign val="subscript"/>
        <sz val="10"/>
        <color theme="1"/>
        <rFont val="宋体"/>
        <charset val="134"/>
        <scheme val="minor"/>
      </rPr>
      <t>FS</t>
    </r>
  </si>
  <si>
    <t>Number (open lagoon external)</t>
  </si>
  <si>
    <t>from DBFZ laboratory data</t>
  </si>
  <si>
    <t>operations building</t>
  </si>
  <si>
    <t>process water</t>
  </si>
  <si>
    <t>Feed leftovers + cattle manure</t>
  </si>
  <si>
    <t>additives</t>
  </si>
  <si>
    <t>Feeding amount [t/d]</t>
  </si>
  <si>
    <t>total</t>
  </si>
  <si>
    <t>TEMPLATE SLIDE:</t>
  </si>
  <si>
    <t>FOS/TAC after FAL</t>
  </si>
  <si>
    <t>gFOS/gCaCO3</t>
  </si>
  <si>
    <t>Year</t>
  </si>
  <si>
    <t>from reverse calculation</t>
  </si>
  <si>
    <t>Total (CHP1 +CHP2)</t>
  </si>
  <si>
    <t>gross electricity production</t>
  </si>
  <si>
    <t>gross heat production</t>
  </si>
  <si>
    <t>Useful heat transfer to external users</t>
  </si>
  <si>
    <t>Useful heat transfer to external users and fermenters</t>
  </si>
  <si>
    <t>Thermal utilization by external users and fermenters</t>
  </si>
  <si>
    <t>days/month</t>
  </si>
  <si>
    <t>hours/month</t>
  </si>
  <si>
    <t>Total rated electrical power</t>
  </si>
  <si>
    <t>Sum of nominal thermal power</t>
  </si>
  <si>
    <t>[kWh/h]</t>
  </si>
  <si>
    <t>[d/month]</t>
  </si>
  <si>
    <t>[h/month]</t>
  </si>
  <si>
    <t>no data</t>
  </si>
  <si>
    <t>mean value</t>
  </si>
  <si>
    <t>Total Labor Utilization</t>
  </si>
  <si>
    <t>including fermenter heating</t>
  </si>
  <si>
    <t>foreign users only</t>
  </si>
  <si>
    <t>BGA 10</t>
  </si>
  <si>
    <t>600kW</t>
  </si>
  <si>
    <t>Connection to farm with dairy cattle and crops</t>
  </si>
  <si>
    <r>
      <rPr>
        <sz val="10"/>
        <color theme="1"/>
        <rFont val="宋体"/>
        <charset val="134"/>
        <scheme val="minor"/>
      </rPr>
      <t>3.5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</si>
  <si>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63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</si>
  <si>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77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</si>
  <si>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112</t>
    </r>
    <r>
      <rPr>
        <vertAlign val="subscript"/>
        <sz val="10"/>
        <color theme="1"/>
        <rFont val="宋体"/>
        <charset val="134"/>
        <scheme val="minor"/>
      </rPr>
      <t>GSY</t>
    </r>
  </si>
  <si>
    <t>Which reference?</t>
  </si>
  <si>
    <t>? Higher than in the fermentation substrate</t>
  </si>
  <si>
    <t>CHP</t>
  </si>
  <si>
    <t>Total (CHP)</t>
  </si>
  <si>
    <t>BGA 11</t>
  </si>
  <si>
    <t>537kW</t>
  </si>
  <si>
    <t>12.2006</t>
  </si>
  <si>
    <t>Connection to an agricultural operation with arable farming</t>
  </si>
  <si>
    <r>
      <rPr>
        <sz val="10"/>
        <color theme="1"/>
        <rFont val="宋体"/>
        <charset val="134"/>
        <scheme val="minor"/>
      </rPr>
      <t>2.0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</si>
  <si>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127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</si>
  <si>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84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</si>
  <si>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99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</si>
  <si>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1.1</t>
    </r>
    <r>
      <rPr>
        <vertAlign val="subscript"/>
        <sz val="10"/>
        <color theme="1"/>
        <rFont val="宋体"/>
        <charset val="134"/>
        <scheme val="minor"/>
      </rPr>
      <t>FS</t>
    </r>
  </si>
  <si>
    <t>of which CHP</t>
  </si>
  <si>
    <t>of which BGA</t>
  </si>
  <si>
    <t>Rye GPS</t>
  </si>
  <si>
    <t>Options:</t>
  </si>
  <si>
    <t>BGA 12</t>
  </si>
  <si>
    <t>09.2007</t>
  </si>
  <si>
    <t>Connection to a farm with crops and chicken fattening</t>
  </si>
  <si>
    <t>dry chicken droppings</t>
  </si>
  <si>
    <t>Reference basis unclear, value related to kg oTS according to the table of laboratory values</t>
  </si>
  <si>
    <t>BGA 13</t>
  </si>
  <si>
    <t>General information:</t>
  </si>
  <si>
    <t>3 VOV CHP</t>
  </si>
  <si>
    <t>Connection to farm with livestock and crops</t>
  </si>
  <si>
    <t>height / width</t>
  </si>
  <si>
    <t>&lt; 1</t>
  </si>
  <si>
    <t>medium dry matter content</t>
  </si>
  <si>
    <t>average oTS content</t>
  </si>
  <si>
    <t>mean FoTS content</t>
  </si>
  <si>
    <t>oTS degradation related to input materials</t>
  </si>
  <si>
    <t>Number:</t>
  </si>
  <si>
    <t>m³/t</t>
  </si>
  <si>
    <t>m³/t TS</t>
  </si>
  <si>
    <t>m³/t oTS</t>
  </si>
  <si>
    <t>Residual gas potential at 37 °C:</t>
  </si>
  <si>
    <t>m³/kg oDS</t>
  </si>
  <si>
    <t>acetic acid equivalent</t>
  </si>
  <si>
    <t>l/kg TS</t>
  </si>
  <si>
    <t>not measured</t>
  </si>
  <si>
    <t>Calculation of gas yield:</t>
  </si>
  <si>
    <t>t substrate /a</t>
  </si>
  <si>
    <t>Calculation of electricity production</t>
  </si>
  <si>
    <t>kWh/a</t>
  </si>
  <si>
    <t>Calculation of theoretical full load hours</t>
  </si>
  <si>
    <t>Electricity production CHP 1-3 kWh/a</t>
  </si>
  <si>
    <t>BGA total:</t>
  </si>
  <si>
    <t>Own use:</t>
  </si>
  <si>
    <t>Pumps &amp; Control:</t>
  </si>
  <si>
    <t>Drying:</t>
  </si>
  <si>
    <t>CHP:</t>
  </si>
  <si>
    <t>Building heating:</t>
  </si>
  <si>
    <t>heat production</t>
  </si>
  <si>
    <t>https://www.lfl.bayern.de/mam/cms07/ilt/files/lang formation_final_report_biogas-monitoring_2015.pdf</t>
  </si>
  <si>
    <t>bran</t>
  </si>
  <si>
    <t>recirculation</t>
  </si>
  <si>
    <t>annual amount</t>
  </si>
  <si>
    <t>[gFOS/gCaCO3]</t>
  </si>
  <si>
    <t>amount of electricity fed into the grid in 2016/17</t>
  </si>
  <si>
    <t>BGA 14</t>
  </si>
  <si>
    <t>549kW</t>
  </si>
  <si>
    <t>11.2003</t>
  </si>
  <si>
    <t>Connection to a farm with dairy cattle and crops</t>
  </si>
  <si>
    <t>potatoes</t>
  </si>
  <si>
    <r>
      <rPr>
        <sz val="10"/>
        <color theme="1"/>
        <rFont val="宋体"/>
        <charset val="134"/>
        <scheme val="minor"/>
      </rPr>
      <t>2.2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</si>
  <si>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73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</si>
  <si>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rFont val="宋体"/>
        <charset val="134"/>
        <scheme val="minor"/>
      </rPr>
      <t>NH</t>
    </r>
    <r>
      <rPr>
        <vertAlign val="subscript"/>
        <sz val="10"/>
        <rFont val="宋体"/>
        <charset val="134"/>
        <scheme val="minor"/>
      </rPr>
      <t>4</t>
    </r>
    <r>
      <rPr>
        <sz val="10"/>
        <rFont val="宋体"/>
        <charset val="134"/>
        <scheme val="minor"/>
      </rPr>
      <t>-N in FM</t>
    </r>
  </si>
  <si>
    <r>
      <rPr>
        <sz val="10"/>
        <rFont val="宋体"/>
        <charset val="134"/>
        <scheme val="minor"/>
      </rPr>
      <t>N</t>
    </r>
    <r>
      <rPr>
        <vertAlign val="subscript"/>
        <sz val="10"/>
        <rFont val="宋体"/>
        <charset val="134"/>
        <scheme val="minor"/>
      </rPr>
      <t>total</t>
    </r>
    <r>
      <rPr>
        <sz val="10"/>
        <rFont val="宋体"/>
        <charset val="134"/>
        <scheme val="minor"/>
      </rPr>
      <t>-N in FM</t>
    </r>
  </si>
  <si>
    <t>Residual gas potential Hohenheim for digestate</t>
  </si>
  <si>
    <t>l/kg oDS</t>
  </si>
  <si>
    <t>oTS</t>
  </si>
  <si>
    <t>%TS</t>
  </si>
  <si>
    <t>TS</t>
  </si>
  <si>
    <t>%FM</t>
  </si>
  <si>
    <r>
      <rPr>
        <sz val="10"/>
        <rFont val="宋体"/>
        <charset val="134"/>
        <scheme val="minor"/>
      </rPr>
      <t>CH</t>
    </r>
    <r>
      <rPr>
        <vertAlign val="subscript"/>
        <sz val="10"/>
        <rFont val="宋体"/>
        <charset val="134"/>
        <scheme val="minor"/>
      </rPr>
      <t>4</t>
    </r>
  </si>
  <si>
    <r>
      <rPr>
        <sz val="10"/>
        <rFont val="宋体"/>
        <charset val="134"/>
        <scheme val="minor"/>
      </rPr>
      <t>CO</t>
    </r>
    <r>
      <rPr>
        <vertAlign val="subscript"/>
        <sz val="10"/>
        <rFont val="宋体"/>
        <charset val="134"/>
        <scheme val="minor"/>
      </rPr>
      <t>2</t>
    </r>
  </si>
  <si>
    <r>
      <rPr>
        <sz val="10"/>
        <rFont val="宋体"/>
        <charset val="134"/>
        <scheme val="minor"/>
      </rPr>
      <t>O</t>
    </r>
    <r>
      <rPr>
        <vertAlign val="subscript"/>
        <sz val="10"/>
        <rFont val="宋体"/>
        <charset val="134"/>
        <scheme val="minor"/>
      </rPr>
      <t>2</t>
    </r>
  </si>
  <si>
    <r>
      <rPr>
        <sz val="10"/>
        <rFont val="宋体"/>
        <charset val="134"/>
        <scheme val="minor"/>
      </rPr>
      <t>H</t>
    </r>
    <r>
      <rPr>
        <vertAlign val="subscript"/>
        <sz val="10"/>
        <rFont val="宋体"/>
        <charset val="134"/>
        <scheme val="minor"/>
      </rPr>
      <t>2</t>
    </r>
    <r>
      <rPr>
        <sz val="10"/>
        <rFont val="宋体"/>
        <charset val="134"/>
        <scheme val="minor"/>
      </rPr>
      <t>S</t>
    </r>
  </si>
  <si>
    <t>No reading</t>
  </si>
  <si>
    <t>BGA 15</t>
  </si>
  <si>
    <t>Connection to a farm with livestock and crops</t>
  </si>
  <si>
    <t>Cattle Manure &amp; Pig Manure</t>
  </si>
  <si>
    <r>
      <rPr>
        <sz val="10"/>
        <color theme="1"/>
        <rFont val="宋体"/>
        <charset val="134"/>
        <scheme val="minor"/>
      </rPr>
      <t>178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</si>
  <si>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0.3</t>
    </r>
    <r>
      <rPr>
        <vertAlign val="subscript"/>
        <sz val="10"/>
        <color theme="1"/>
        <rFont val="宋体"/>
        <charset val="134"/>
        <scheme val="minor"/>
      </rPr>
      <t>FS</t>
    </r>
  </si>
  <si>
    <t>Nm³/a</t>
  </si>
  <si>
    <t>pilot oil proportion</t>
  </si>
  <si>
    <t>fuel consumption</t>
  </si>
  <si>
    <t>[l/day]</t>
  </si>
  <si>
    <t>is not recorded</t>
  </si>
  <si>
    <t>Stables &amp; social buildings:</t>
  </si>
  <si>
    <t>Mixture of cattle/pig manure</t>
  </si>
  <si>
    <t>BGA 16</t>
  </si>
  <si>
    <t>740kW</t>
  </si>
  <si>
    <t>07.2014</t>
  </si>
  <si>
    <t>12/2016 - 11/2017</t>
  </si>
  <si>
    <t>additional fugat (as recirculation)</t>
  </si>
  <si>
    <t>Input material mix (without Fugat)</t>
  </si>
  <si>
    <r>
      <rPr>
        <sz val="10"/>
        <color theme="1"/>
        <rFont val="宋体"/>
        <charset val="134"/>
        <scheme val="minor"/>
      </rPr>
      <t>54</t>
    </r>
    <r>
      <rPr>
        <vertAlign val="subscript"/>
        <sz val="10"/>
        <color theme="1"/>
        <rFont val="宋体"/>
        <charset val="134"/>
        <scheme val="minor"/>
      </rPr>
      <t>FS</t>
    </r>
  </si>
  <si>
    <t>Post-fermenter/fermentation residue storage 1: (before solids separation)</t>
  </si>
  <si>
    <t>according to which equation should the residual methane potential be calculated?</t>
  </si>
  <si>
    <t>gas storage volume*</t>
  </si>
  <si>
    <t>Fugat storage/fermentation residue storage 2:</t>
  </si>
  <si>
    <t>* includes digestate storage 1 and 2</t>
  </si>
  <si>
    <t>very high. The loss of efficiency was probably set too high at 3% in the back calculation. Is in contrast to the calculated potentials according to KTBL</t>
  </si>
  <si>
    <t>theoretical full load hours CHP 1 &gt; as operating hours. Either a measurement error or the CHP was temporarily running at more than the nominal output</t>
  </si>
  <si>
    <t>High workload CHP 1. Either measurement errors here or the CHP was temporarily running at more than the nominal output</t>
  </si>
  <si>
    <t>[% of electricity prod.]</t>
  </si>
  <si>
    <t>(related to the period March 2017 November 2017 (9 months)</t>
  </si>
  <si>
    <t>[</t>
  </si>
  <si>
    <t>lactose molasses</t>
  </si>
  <si>
    <t>without fugue</t>
  </si>
  <si>
    <t>No data</t>
  </si>
  <si>
    <t>Average</t>
  </si>
  <si>
    <t>total year</t>
  </si>
  <si>
    <t>BGA 17</t>
  </si>
  <si>
    <t>575kW</t>
  </si>
  <si>
    <t>Individual farm, connection to an agricultural operation with dairy farming and arable farming</t>
  </si>
  <si>
    <r>
      <rPr>
        <sz val="10"/>
        <color theme="1"/>
        <rFont val="宋体"/>
        <charset val="134"/>
        <scheme val="minor"/>
      </rPr>
      <t>2.9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</si>
  <si>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101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</si>
  <si>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132</t>
    </r>
    <r>
      <rPr>
        <vertAlign val="subscript"/>
        <sz val="10"/>
        <color theme="1"/>
        <rFont val="宋体"/>
        <charset val="134"/>
        <scheme val="minor"/>
      </rPr>
      <t>GSY</t>
    </r>
  </si>
  <si>
    <t>Total feeding amount [t/d]</t>
  </si>
  <si>
    <t>546</t>
  </si>
  <si>
    <r>
      <rPr>
        <i/>
        <sz val="11"/>
        <color theme="1"/>
        <rFont val="宋体"/>
        <charset val="134"/>
        <scheme val="minor"/>
      </rPr>
      <t>interest payments</t>
    </r>
    <r>
      <rPr>
        <i/>
        <vertAlign val="superscript"/>
        <sz val="11"/>
        <color theme="1"/>
        <rFont val="宋体"/>
        <charset val="134"/>
        <scheme val="minor"/>
      </rPr>
      <t>1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</si>
  <si>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Estimation of the interest payments from the information on loan volume, loan term and annual percentage rate</t>
    </r>
  </si>
  <si>
    <t>BGA 18</t>
  </si>
  <si>
    <t>1,550kW</t>
  </si>
  <si>
    <t>2 VOV CHP, 2 satellite CHP</t>
  </si>
  <si>
    <t>Individual farm, connection to an agricultural operation with animal husbandry and arable farming</t>
  </si>
  <si>
    <t>post-fermenter 1</t>
  </si>
  <si>
    <t>post-fermenter 2</t>
  </si>
  <si>
    <t>575</t>
  </si>
  <si>
    <r>
      <rPr>
        <sz val="10"/>
        <color theme="1"/>
        <rFont val="宋体"/>
        <charset val="134"/>
        <scheme val="minor"/>
      </rPr>
      <t>4.3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</si>
  <si>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59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</si>
  <si>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80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</si>
  <si>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116</t>
    </r>
    <r>
      <rPr>
        <vertAlign val="subscript"/>
        <sz val="10"/>
        <color theme="1"/>
        <rFont val="宋体"/>
        <charset val="134"/>
        <scheme val="minor"/>
      </rPr>
      <t>GSY</t>
    </r>
  </si>
  <si>
    <t>start stop</t>
  </si>
  <si>
    <t>district heating</t>
  </si>
  <si>
    <t>1140</t>
  </si>
  <si>
    <t>BGA 19</t>
  </si>
  <si>
    <t>750kW</t>
  </si>
  <si>
    <t>2 VOV CHP, 1 satellite CHP</t>
  </si>
  <si>
    <t>Individual farm, connection to an agricultural operation with arable farming</t>
  </si>
  <si>
    <t>horse manure</t>
  </si>
  <si>
    <t>Wheat grain and cereal grain</t>
  </si>
  <si>
    <t>Mixture of rye and barley whole plant silage</t>
  </si>
  <si>
    <r>
      <rPr>
        <sz val="10"/>
        <color theme="1"/>
        <rFont val="宋体"/>
        <charset val="134"/>
        <scheme val="minor"/>
      </rPr>
      <t>103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</si>
  <si>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1.3</t>
    </r>
    <r>
      <rPr>
        <vertAlign val="subscript"/>
        <sz val="10"/>
        <color theme="1"/>
        <rFont val="宋体"/>
        <charset val="134"/>
        <scheme val="minor"/>
      </rPr>
      <t>FS</t>
    </r>
  </si>
  <si>
    <t>biogas treatment</t>
  </si>
  <si>
    <t>Mixture of rye/barley whole plant silage</t>
  </si>
  <si>
    <r>
      <rPr>
        <sz val="11"/>
        <rFont val="宋体"/>
        <charset val="134"/>
        <scheme val="minor"/>
      </rPr>
      <t>amount of electricity fed into the grid in 2017</t>
    </r>
    <r>
      <rPr>
        <vertAlign val="superscript"/>
        <sz val="11"/>
        <rFont val="宋体"/>
        <charset val="134"/>
        <scheme val="minor"/>
      </rPr>
      <t>1</t>
    </r>
  </si>
  <si>
    <r>
      <rPr>
        <sz val="11"/>
        <color theme="1"/>
        <rFont val="宋体"/>
        <charset val="134"/>
        <scheme val="minor"/>
      </rPr>
      <t>depreciation</t>
    </r>
    <r>
      <rPr>
        <vertAlign val="superscript"/>
        <sz val="11"/>
        <color theme="1"/>
        <rFont val="宋体"/>
        <charset val="134"/>
        <scheme val="minor"/>
      </rPr>
      <t>2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</si>
  <si>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amount of electricity fed in on site: 1,803,499 kWh; plus calculated equivalent of raw biogas: 3,604,305 kWh</t>
    </r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</si>
  <si>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Valuation approach for depreciation: according to DLG standard (DLG, 2010)</t>
    </r>
  </si>
  <si>
    <t>BGA 20</t>
  </si>
  <si>
    <t>1,000kW</t>
  </si>
  <si>
    <t>Community facility with 3 operators</t>
  </si>
  <si>
    <t>Grain, including grain and grain</t>
  </si>
  <si>
    <t>sugar beet</t>
  </si>
  <si>
    <t>wet corn</t>
  </si>
  <si>
    <r>
      <rPr>
        <sz val="10"/>
        <color theme="1"/>
        <rFont val="宋体"/>
        <charset val="134"/>
        <scheme val="minor"/>
      </rPr>
      <t>133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</si>
  <si>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131</t>
    </r>
    <r>
      <rPr>
        <vertAlign val="subscript"/>
        <sz val="10"/>
        <color theme="1"/>
        <rFont val="宋体"/>
        <charset val="134"/>
        <scheme val="minor"/>
      </rPr>
      <t>GSY</t>
    </r>
  </si>
  <si>
    <t>duration</t>
  </si>
  <si>
    <t>theoretical full load hours*</t>
  </si>
  <si>
    <t>electr. labor utilization*</t>
  </si>
  <si>
    <t>* Average for both CHP</t>
  </si>
  <si>
    <t>950</t>
  </si>
  <si>
    <t>BGA 21</t>
  </si>
  <si>
    <t>1,405kW</t>
  </si>
  <si>
    <t>1 VOV CHP, 2 satellite CHP</t>
  </si>
  <si>
    <r>
      <rPr>
        <sz val="10"/>
        <color theme="1"/>
        <rFont val="宋体"/>
        <charset val="134"/>
        <scheme val="minor"/>
      </rPr>
      <t>3.3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</si>
  <si>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72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</si>
  <si>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92</t>
    </r>
    <r>
      <rPr>
        <vertAlign val="subscript"/>
        <sz val="10"/>
        <color theme="1"/>
        <rFont val="宋体"/>
        <charset val="134"/>
        <scheme val="minor"/>
      </rPr>
      <t>GSY</t>
    </r>
  </si>
  <si>
    <t>* Average for all CHP</t>
  </si>
  <si>
    <t>1378</t>
  </si>
  <si>
    <t>BGA 22</t>
  </si>
  <si>
    <t>380kW</t>
  </si>
  <si>
    <t>350</t>
  </si>
  <si>
    <t>sweet millet</t>
  </si>
  <si>
    <r>
      <rPr>
        <sz val="10"/>
        <color theme="1"/>
        <rFont val="宋体"/>
        <charset val="134"/>
        <scheme val="minor"/>
      </rPr>
      <t>3.1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</si>
  <si>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104</t>
    </r>
    <r>
      <rPr>
        <vertAlign val="subscript"/>
        <sz val="10"/>
        <color theme="1"/>
        <rFont val="宋体"/>
        <charset val="134"/>
        <scheme val="minor"/>
      </rPr>
      <t>FS</t>
    </r>
  </si>
  <si>
    <t>Drying + residential houses</t>
  </si>
  <si>
    <t>364.8</t>
  </si>
  <si>
    <t>BGA 23</t>
  </si>
  <si>
    <t>2,584kW</t>
  </si>
  <si>
    <t>4 VOV CHP, 2 satellite CHP</t>
  </si>
  <si>
    <t>other facility</t>
  </si>
  <si>
    <t>543</t>
  </si>
  <si>
    <t>794</t>
  </si>
  <si>
    <r>
      <rPr>
        <sz val="10"/>
        <color theme="1"/>
        <rFont val="宋体"/>
        <charset val="134"/>
        <scheme val="minor"/>
      </rPr>
      <t>4.9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</si>
  <si>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42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</si>
  <si>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83</t>
    </r>
    <r>
      <rPr>
        <vertAlign val="subscript"/>
        <sz val="10"/>
        <color theme="1"/>
        <rFont val="宋体"/>
        <charset val="134"/>
        <scheme val="minor"/>
      </rPr>
      <t>GSY</t>
    </r>
  </si>
  <si>
    <t>[g/l]</t>
  </si>
  <si>
    <t>wilted silage</t>
  </si>
  <si>
    <t>2765</t>
  </si>
  <si>
    <r>
      <rPr>
        <sz val="11"/>
        <rFont val="宋体"/>
        <charset val="134"/>
        <scheme val="minor"/>
      </rPr>
      <t>amount of electricity fed into the grid in 2016/17</t>
    </r>
    <r>
      <rPr>
        <vertAlign val="superscript"/>
        <sz val="11"/>
        <rFont val="宋体"/>
        <charset val="134"/>
        <scheme val="minor"/>
      </rPr>
      <t>1</t>
    </r>
  </si>
  <si>
    <r>
      <rPr>
        <sz val="11"/>
        <rFont val="宋体"/>
        <charset val="134"/>
        <scheme val="minor"/>
      </rPr>
      <t>total investment volume</t>
    </r>
    <r>
      <rPr>
        <vertAlign val="superscript"/>
        <sz val="11"/>
        <rFont val="宋体"/>
        <charset val="134"/>
        <scheme val="minor"/>
      </rPr>
      <t>2</t>
    </r>
  </si>
  <si>
    <r>
      <rPr>
        <i/>
        <sz val="11"/>
        <color theme="1"/>
        <rFont val="宋体"/>
        <charset val="134"/>
        <scheme val="minor"/>
      </rPr>
      <t>interest payments</t>
    </r>
    <r>
      <rPr>
        <i/>
        <vertAlign val="superscript"/>
        <sz val="11"/>
        <color theme="1"/>
        <rFont val="宋体"/>
        <charset val="134"/>
        <scheme val="minor"/>
      </rPr>
      <t>3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</si>
  <si>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amount of electricity fed in on site: 8,964,162 kWh; plus calculated equivalent of raw biogas: 6,525,264 kWh</t>
    </r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</si>
  <si>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Estimation of the investment needs of individual CHPs including transport, integration and acceptance (ASUE, 2015)</t>
    </r>
  </si>
  <si>
    <r>
      <rPr>
        <vertAlign val="superscript"/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Estimation of the interest payments from the information on loan volume, loan term and annual percentage rate</t>
    </r>
  </si>
  <si>
    <t>BGA 24</t>
  </si>
  <si>
    <t>355kW</t>
  </si>
  <si>
    <t>NaWaRo, animal excrement</t>
  </si>
  <si>
    <t>research biogas plant</t>
  </si>
  <si>
    <t>Green rye whole plant silage</t>
  </si>
  <si>
    <r>
      <rPr>
        <sz val="10"/>
        <rFont val="宋体"/>
        <charset val="134"/>
        <scheme val="minor"/>
      </rPr>
      <t>1.8</t>
    </r>
    <r>
      <rPr>
        <vertAlign val="subscript"/>
        <sz val="10"/>
        <rFont val="宋体"/>
        <charset val="134"/>
        <scheme val="minor"/>
      </rPr>
      <t>FS</t>
    </r>
  </si>
  <si>
    <r>
      <rPr>
        <sz val="10"/>
        <rFont val="宋体"/>
        <charset val="134"/>
        <scheme val="minor"/>
      </rPr>
      <t>142</t>
    </r>
    <r>
      <rPr>
        <vertAlign val="subscript"/>
        <sz val="10"/>
        <rFont val="宋体"/>
        <charset val="134"/>
        <scheme val="minor"/>
      </rPr>
      <t>FS</t>
    </r>
  </si>
  <si>
    <r>
      <rPr>
        <sz val="10"/>
        <rFont val="宋体"/>
        <charset val="134"/>
        <scheme val="minor"/>
      </rPr>
      <t>80</t>
    </r>
    <r>
      <rPr>
        <vertAlign val="subscript"/>
        <sz val="10"/>
        <rFont val="宋体"/>
        <charset val="134"/>
        <scheme val="minor"/>
      </rPr>
      <t>GSY</t>
    </r>
  </si>
  <si>
    <r>
      <rPr>
        <sz val="10"/>
        <rFont val="宋体"/>
        <charset val="134"/>
        <scheme val="minor"/>
      </rPr>
      <t>95</t>
    </r>
    <r>
      <rPr>
        <vertAlign val="subscript"/>
        <sz val="10"/>
        <rFont val="宋体"/>
        <charset val="134"/>
        <scheme val="minor"/>
      </rPr>
      <t>GSY</t>
    </r>
  </si>
  <si>
    <r>
      <rPr>
        <sz val="10"/>
        <rFont val="宋体"/>
        <charset val="134"/>
        <scheme val="minor"/>
      </rPr>
      <t>0.5</t>
    </r>
    <r>
      <rPr>
        <vertAlign val="subscript"/>
        <sz val="10"/>
        <rFont val="宋体"/>
        <charset val="134"/>
        <scheme val="minor"/>
      </rPr>
      <t>FS</t>
    </r>
  </si>
  <si>
    <r>
      <rPr>
        <sz val="10"/>
        <rFont val="宋体"/>
        <charset val="134"/>
        <scheme val="minor"/>
      </rPr>
      <t>1.0</t>
    </r>
    <r>
      <rPr>
        <vertAlign val="subscript"/>
        <sz val="10"/>
        <rFont val="宋体"/>
        <charset val="134"/>
        <scheme val="minor"/>
      </rPr>
      <t>FS</t>
    </r>
  </si>
  <si>
    <r>
      <rPr>
        <sz val="11"/>
        <color theme="1"/>
        <rFont val="宋体"/>
        <charset val="134"/>
        <scheme val="minor"/>
      </rPr>
      <t>depreciation</t>
    </r>
    <r>
      <rPr>
        <vertAlign val="superscript"/>
        <sz val="11"/>
        <color theme="1"/>
        <rFont val="宋体"/>
        <charset val="134"/>
        <scheme val="minor"/>
      </rPr>
      <t>1</t>
    </r>
  </si>
  <si>
    <r>
      <rPr>
        <i/>
        <sz val="11"/>
        <color theme="1"/>
        <rFont val="宋体"/>
        <charset val="134"/>
        <scheme val="minor"/>
      </rPr>
      <t>electricity purchase</t>
    </r>
    <r>
      <rPr>
        <i/>
        <vertAlign val="superscript"/>
        <sz val="11"/>
        <color theme="1"/>
        <rFont val="宋体"/>
        <charset val="134"/>
        <scheme val="minor"/>
      </rPr>
      <t>3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</si>
  <si>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Valuation approach for depreciation: according to DLG standard (DLG, 2010)</t>
    </r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</si>
  <si>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Total also includes the costs of transporting the digestate in the amount of €7,757/a</t>
    </r>
  </si>
  <si>
    <r>
      <rPr>
        <vertAlign val="superscript"/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excess feed-in</t>
    </r>
  </si>
  <si>
    <r>
      <rPr>
        <vertAlign val="superscript"/>
        <sz val="11"/>
        <color theme="1"/>
        <rFont val="宋体"/>
        <charset val="134"/>
        <scheme val="minor"/>
      </rPr>
      <t>4</t>
    </r>
    <r>
      <rPr>
        <sz val="11"/>
        <color theme="1"/>
        <rFont val="宋体"/>
        <charset val="134"/>
        <scheme val="minor"/>
      </rPr>
      <t>omitted</t>
    </r>
  </si>
  <si>
    <t>BGA 25</t>
  </si>
  <si>
    <t>Individual farm, connection to an agricultural operation without animal husbandry</t>
  </si>
  <si>
    <t>water</t>
  </si>
  <si>
    <r>
      <rPr>
        <sz val="10"/>
        <color theme="1"/>
        <rFont val="宋体"/>
        <charset val="134"/>
        <scheme val="minor"/>
      </rPr>
      <t>2.6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</si>
  <si>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132</t>
    </r>
    <r>
      <rPr>
        <vertAlign val="subscript"/>
        <sz val="10"/>
        <color theme="1"/>
        <rFont val="宋体"/>
        <charset val="134"/>
        <scheme val="minor"/>
      </rPr>
      <t>FS</t>
    </r>
  </si>
  <si>
    <t>4.2*</t>
  </si>
  <si>
    <t>*Sampling took place at the last heated vessel</t>
  </si>
  <si>
    <t>at the CHP</t>
  </si>
  <si>
    <t>external amount of heat</t>
  </si>
  <si>
    <t>of which wood drying</t>
  </si>
  <si>
    <t>of which local heating network</t>
  </si>
  <si>
    <t>fresh mass entry</t>
  </si>
  <si>
    <t>Maximum rated power here: installed, otherwise more than 100% utilization</t>
  </si>
  <si>
    <r>
      <rPr>
        <i/>
        <sz val="11"/>
        <color theme="1"/>
        <rFont val="宋体"/>
        <charset val="134"/>
        <scheme val="minor"/>
      </rPr>
      <t>electricity purchase</t>
    </r>
    <r>
      <rPr>
        <i/>
        <vertAlign val="superscript"/>
        <sz val="11"/>
        <color theme="1"/>
        <rFont val="宋体"/>
        <charset val="134"/>
        <scheme val="minor"/>
      </rPr>
      <t>1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</si>
  <si>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excess feed-in</t>
    </r>
  </si>
  <si>
    <t>BGA 26</t>
  </si>
  <si>
    <t>could you fill in the yellow fields yourself? Data on this is mostly missing</t>
  </si>
  <si>
    <t>09/2016 to 08/2017</t>
  </si>
  <si>
    <t>Single farm, connection to a farm with chicken fattening</t>
  </si>
  <si>
    <t>Information about what else is missing. I expected TS 20% and oTS 85% and FoTS 650</t>
  </si>
  <si>
    <t>corn grain silage</t>
  </si>
  <si>
    <r>
      <rPr>
        <sz val="10"/>
        <color theme="1"/>
        <rFont val="宋体"/>
        <charset val="134"/>
        <scheme val="minor"/>
      </rPr>
      <t>175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</si>
  <si>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89</t>
    </r>
    <r>
      <rPr>
        <vertAlign val="subscript"/>
        <sz val="10"/>
        <color theme="1"/>
        <rFont val="宋体"/>
        <charset val="134"/>
        <scheme val="minor"/>
      </rPr>
      <t>GSY</t>
    </r>
  </si>
  <si>
    <t>not determined</t>
  </si>
  <si>
    <t>b</t>
  </si>
  <si>
    <t>chicken manure</t>
  </si>
  <si>
    <t>feeding amount</t>
  </si>
  <si>
    <t>BGA 27</t>
  </si>
  <si>
    <t>240kW</t>
  </si>
  <si>
    <t>08/2016 - 07/2017</t>
  </si>
  <si>
    <t>Individual farm, connection to a farm with poultry farming</t>
  </si>
  <si>
    <t>925</t>
  </si>
  <si>
    <t>clover grass silage</t>
  </si>
  <si>
    <r>
      <rPr>
        <sz val="10"/>
        <color theme="1"/>
        <rFont val="宋体"/>
        <charset val="134"/>
        <scheme val="minor"/>
      </rPr>
      <t>66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</si>
  <si>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72</t>
    </r>
    <r>
      <rPr>
        <vertAlign val="subscript"/>
        <sz val="10"/>
        <color theme="1"/>
        <rFont val="宋体"/>
        <charset val="134"/>
        <scheme val="minor"/>
      </rPr>
      <t>GSY</t>
    </r>
  </si>
  <si>
    <t>6.7*</t>
  </si>
  <si>
    <t>Grain and Cereal Grain</t>
  </si>
  <si>
    <t>Thermal utilization not specified, since only annual value is available</t>
  </si>
  <si>
    <r>
      <rPr>
        <i/>
        <sz val="11"/>
        <color theme="1"/>
        <rFont val="宋体"/>
        <charset val="134"/>
        <scheme val="minor"/>
      </rPr>
      <t>interest payments</t>
    </r>
    <r>
      <rPr>
        <i/>
        <vertAlign val="superscript"/>
        <sz val="11"/>
        <color theme="1"/>
        <rFont val="宋体"/>
        <charset val="134"/>
        <scheme val="minor"/>
      </rPr>
      <t>2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</si>
  <si>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partial excess feed-in; Electricity requirements of the CHP covered by self-sufficiency</t>
    </r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</si>
  <si>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Estimation of the interest payments from the information on loan volume, loan term and annual percentage rate</t>
    </r>
  </si>
  <si>
    <t>BGA 28</t>
  </si>
  <si>
    <t>440kW</t>
  </si>
  <si>
    <t>Single farm with attached farm</t>
  </si>
  <si>
    <t>lying</t>
  </si>
  <si>
    <r>
      <rPr>
        <sz val="10"/>
        <color theme="1"/>
        <rFont val="宋体"/>
        <charset val="134"/>
        <scheme val="minor"/>
      </rPr>
      <t>125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</si>
  <si>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78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</si>
  <si>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135</t>
    </r>
    <r>
      <rPr>
        <vertAlign val="subscript"/>
        <sz val="10"/>
        <color theme="1"/>
        <rFont val="宋体"/>
        <charset val="134"/>
        <scheme val="minor"/>
      </rPr>
      <t>GSY</t>
    </r>
  </si>
  <si>
    <t>3.8*</t>
  </si>
  <si>
    <t>of which estate</t>
  </si>
  <si>
    <t>of which castle estate</t>
  </si>
  <si>
    <t>with conference and catering rooms</t>
  </si>
  <si>
    <t>Middle</t>
  </si>
  <si>
    <t>BGA 29</t>
  </si>
  <si>
    <t>250kW</t>
  </si>
  <si>
    <t>Tricitale whole plant silage</t>
  </si>
  <si>
    <t>7.3*</t>
  </si>
  <si>
    <t>of which pigsties</t>
  </si>
  <si>
    <t>of which residential building</t>
  </si>
  <si>
    <t>Triticale - whole crop silage</t>
  </si>
  <si>
    <t>BGA 30</t>
  </si>
  <si>
    <t>536kW</t>
  </si>
  <si>
    <t>NawaRo, animal excrement, residues</t>
  </si>
  <si>
    <t>spent grains</t>
  </si>
  <si>
    <t>potato pulp</t>
  </si>
  <si>
    <r>
      <rPr>
        <sz val="10"/>
        <color theme="1"/>
        <rFont val="宋体"/>
        <charset val="134"/>
        <scheme val="minor"/>
      </rPr>
      <t>1.6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</si>
  <si>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225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</si>
  <si>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90</t>
    </r>
    <r>
      <rPr>
        <vertAlign val="subscript"/>
        <sz val="10"/>
        <color theme="1"/>
        <rFont val="宋体"/>
        <charset val="134"/>
        <scheme val="minor"/>
      </rPr>
      <t>GSY</t>
    </r>
  </si>
  <si>
    <t>1.3*</t>
  </si>
  <si>
    <t>external amount of heat for</t>
  </si>
  <si>
    <t>drying, greenhouses and</t>
  </si>
  <si>
    <t>cereal grain</t>
  </si>
  <si>
    <t>pulp</t>
  </si>
  <si>
    <t>BGA 31</t>
  </si>
  <si>
    <t>795kW</t>
  </si>
  <si>
    <t>Single farm, integrated into an organic arable farming and laying hen operation</t>
  </si>
  <si>
    <r>
      <rPr>
        <sz val="10"/>
        <color theme="1"/>
        <rFont val="宋体"/>
        <charset val="134"/>
        <scheme val="minor"/>
      </rPr>
      <t>137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</si>
  <si>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82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</si>
  <si>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105</t>
    </r>
    <r>
      <rPr>
        <vertAlign val="subscript"/>
        <sz val="10"/>
        <color theme="1"/>
        <rFont val="宋体"/>
        <charset val="134"/>
        <scheme val="minor"/>
      </rPr>
      <t>GSY</t>
    </r>
  </si>
  <si>
    <t>3.7*</t>
  </si>
  <si>
    <t>BGA 32</t>
  </si>
  <si>
    <t>1,785kW</t>
  </si>
  <si>
    <t>NawaRo, animal excrement and residues</t>
  </si>
  <si>
    <t>3 VOV CHP and 2 satellite CHP</t>
  </si>
  <si>
    <t>Single farm integrated into a farm</t>
  </si>
  <si>
    <t>potato steam bowls</t>
  </si>
  <si>
    <r>
      <rPr>
        <sz val="10"/>
        <color theme="1"/>
        <rFont val="宋体"/>
        <charset val="134"/>
        <scheme val="minor"/>
      </rPr>
      <t>170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</si>
  <si>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125</t>
    </r>
    <r>
      <rPr>
        <vertAlign val="subscript"/>
        <sz val="10"/>
        <color theme="1"/>
        <rFont val="宋体"/>
        <charset val="134"/>
        <scheme val="minor"/>
      </rPr>
      <t>GSY</t>
    </r>
  </si>
  <si>
    <t>6.1*</t>
  </si>
  <si>
    <t>GO satellite</t>
  </si>
  <si>
    <t>part load</t>
  </si>
  <si>
    <t>substitute</t>
  </si>
  <si>
    <t>cattle/sheep manure</t>
  </si>
  <si>
    <t>fermenter1</t>
  </si>
  <si>
    <t>fermenter2</t>
  </si>
  <si>
    <t>BGA 33</t>
  </si>
  <si>
    <t>08.2010</t>
  </si>
  <si>
    <t>09/2017 - 08/2018, complete data set only in the period 10/2017 - 07/2018</t>
  </si>
  <si>
    <t>Single farm, connected farm with crops</t>
  </si>
  <si>
    <t>Cattle manure including silo leachate</t>
  </si>
  <si>
    <r>
      <rPr>
        <sz val="10"/>
        <color theme="1"/>
        <rFont val="宋体"/>
        <charset val="134"/>
        <scheme val="minor"/>
      </rPr>
      <t>87</t>
    </r>
    <r>
      <rPr>
        <vertAlign val="subscript"/>
        <sz val="10"/>
        <color theme="1"/>
        <rFont val="宋体"/>
        <charset val="134"/>
        <scheme val="minor"/>
      </rPr>
      <t>FS</t>
    </r>
  </si>
  <si>
    <t>Cattle manure including silo leachate/OW</t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</si>
  <si>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straight-line depreciation of the entire biogas plant over 16 years</t>
    </r>
  </si>
  <si>
    <t>BGA 34</t>
  </si>
  <si>
    <t>75kW</t>
  </si>
  <si>
    <t>12.2013</t>
  </si>
  <si>
    <t>08/2017 - 07/2018</t>
  </si>
  <si>
    <t>Single farm, attached farm with arable farming, dairy farming and cattle breeding</t>
  </si>
  <si>
    <t>uneaten food</t>
  </si>
  <si>
    <r>
      <rPr>
        <sz val="10"/>
        <color theme="1"/>
        <rFont val="宋体"/>
        <charset val="134"/>
        <scheme val="minor"/>
      </rPr>
      <t>1:16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</si>
  <si>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105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</si>
  <si>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68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</si>
  <si>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63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</si>
  <si>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0.18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</si>
  <si>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0.35</t>
    </r>
    <r>
      <rPr>
        <vertAlign val="subscript"/>
        <sz val="10"/>
        <color theme="1"/>
        <rFont val="宋体"/>
        <charset val="134"/>
        <scheme val="minor"/>
      </rPr>
      <t>FS</t>
    </r>
  </si>
  <si>
    <t>40 - 52</t>
  </si>
  <si>
    <t>22 - 41</t>
  </si>
  <si>
    <t>no external heat recovery; solely to cover personal needs</t>
  </si>
  <si>
    <t>Personal requirements are not recorded by measurement</t>
  </si>
  <si>
    <t>BGA 35</t>
  </si>
  <si>
    <t>0kW</t>
  </si>
  <si>
    <t>12.2014</t>
  </si>
  <si>
    <t>Gas processing to biomethane &amp; feeding into the natural gas network</t>
  </si>
  <si>
    <r>
      <rPr>
        <sz val="10"/>
        <color theme="1"/>
        <rFont val="宋体"/>
        <charset val="134"/>
        <scheme val="minor"/>
      </rPr>
      <t>62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</si>
  <si>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122</t>
    </r>
    <r>
      <rPr>
        <vertAlign val="subscript"/>
        <sz val="10"/>
        <color theme="1"/>
        <rFont val="宋体"/>
        <charset val="134"/>
        <scheme val="minor"/>
      </rPr>
      <t>GSY</t>
    </r>
  </si>
  <si>
    <t>40 - 48</t>
  </si>
  <si>
    <t>Biomethane feed-in, no on-site power generation</t>
  </si>
  <si>
    <t>129,543</t>
  </si>
  <si>
    <t>of which biogas production</t>
  </si>
  <si>
    <t>of which biogas processing</t>
  </si>
  <si>
    <r>
      <rPr>
        <sz val="11"/>
        <color theme="1"/>
        <rFont val="宋体"/>
        <charset val="134"/>
        <scheme val="minor"/>
      </rPr>
      <t>Other revenues (biomethane)</t>
    </r>
    <r>
      <rPr>
        <vertAlign val="superscript"/>
        <sz val="11"/>
        <color theme="1"/>
        <rFont val="宋体"/>
        <charset val="134"/>
        <scheme val="minor"/>
      </rPr>
      <t>2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</si>
  <si>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calculated value from the sale of 4,309,783 m³ of biomethane</t>
    </r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</si>
  <si>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Composition: €3,305,019.95/a sale of biomethane, approx. €325,000/a avoided network charges and approx. €79,000/a others</t>
    </r>
  </si>
  <si>
    <r>
      <rPr>
        <vertAlign val="superscript"/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Total also includes the costs of transporting the digestate in the amount of €43,596/a</t>
    </r>
  </si>
  <si>
    <t>BGA 36</t>
  </si>
  <si>
    <t>697kW</t>
  </si>
  <si>
    <t>07.2007</t>
  </si>
  <si>
    <t>single farm</t>
  </si>
  <si>
    <t>Fixed portion of cattle manure</t>
  </si>
  <si>
    <r>
      <rPr>
        <sz val="10"/>
        <color theme="1"/>
        <rFont val="宋体"/>
        <charset val="134"/>
        <scheme val="minor"/>
      </rPr>
      <t>3.6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</si>
  <si>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81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</si>
  <si>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86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</si>
  <si>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121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</si>
  <si>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2.8</t>
    </r>
    <r>
      <rPr>
        <vertAlign val="subscript"/>
        <sz val="10"/>
        <color theme="1"/>
        <rFont val="宋体"/>
        <charset val="134"/>
        <scheme val="minor"/>
      </rPr>
      <t>FS</t>
    </r>
  </si>
  <si>
    <t>october</t>
  </si>
  <si>
    <t>Dec</t>
  </si>
  <si>
    <t>March</t>
  </si>
  <si>
    <t>may</t>
  </si>
  <si>
    <t>BGA 37</t>
  </si>
  <si>
    <t>1,768kW</t>
  </si>
  <si>
    <t>Community facility with 3 operators, affiliated farms with animal husbandry and arable farming</t>
  </si>
  <si>
    <t>Corn+sugar beet+rye grist</t>
  </si>
  <si>
    <t>Sugar beet + rye meal</t>
  </si>
  <si>
    <r>
      <rPr>
        <sz val="10"/>
        <color theme="1"/>
        <rFont val="宋体"/>
        <charset val="134"/>
        <scheme val="minor"/>
      </rPr>
      <t>3.4</t>
    </r>
    <r>
      <rPr>
        <vertAlign val="subscript"/>
        <sz val="10"/>
        <color theme="1"/>
        <rFont val="宋体"/>
        <charset val="134"/>
        <scheme val="minor"/>
      </rPr>
      <t>FS</t>
    </r>
  </si>
  <si>
    <t>Process steam dairy</t>
  </si>
  <si>
    <t>heat dairy</t>
  </si>
  <si>
    <t>Dryer wood chips</t>
  </si>
  <si>
    <t>other consumers heat network 1-4</t>
  </si>
  <si>
    <t>Mixture of corn-whole crop silage, sugar beet and rye grain</t>
  </si>
  <si>
    <t>Mixture of beet and rye cereal grain</t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</si>
  <si>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also includes the costs of transporting the digestate in the amount of €19,957/a</t>
    </r>
  </si>
  <si>
    <t>BGA 38</t>
  </si>
  <si>
    <t>973kW</t>
  </si>
  <si>
    <r>
      <rPr>
        <sz val="10"/>
        <color theme="1"/>
        <rFont val="宋体"/>
        <charset val="134"/>
        <scheme val="minor"/>
      </rPr>
      <t>113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</si>
  <si>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3.0</t>
    </r>
    <r>
      <rPr>
        <vertAlign val="subscript"/>
        <sz val="10"/>
        <color theme="1"/>
        <rFont val="宋体"/>
        <charset val="134"/>
        <scheme val="minor"/>
      </rPr>
      <t>FS</t>
    </r>
  </si>
  <si>
    <t>716 (573)</t>
  </si>
  <si>
    <t>Local heating network BGA</t>
  </si>
  <si>
    <t>BGA 39</t>
  </si>
  <si>
    <t>Single farm, attached farm with arable farming and laying hen husbandry</t>
  </si>
  <si>
    <r>
      <rPr>
        <sz val="10"/>
        <color theme="1"/>
        <rFont val="宋体"/>
        <charset val="134"/>
        <scheme val="minor"/>
      </rPr>
      <t>74</t>
    </r>
    <r>
      <rPr>
        <vertAlign val="subscript"/>
        <sz val="10"/>
        <color theme="1"/>
        <rFont val="宋体"/>
        <charset val="134"/>
        <scheme val="minor"/>
      </rPr>
      <t>FS</t>
    </r>
  </si>
  <si>
    <t>digestate dryer</t>
  </si>
  <si>
    <t>BGA 40</t>
  </si>
  <si>
    <t>540kW</t>
  </si>
  <si>
    <t>08.2007</t>
  </si>
  <si>
    <t>10/2017 - 09/2018</t>
  </si>
  <si>
    <t>Attached farm with dairy cattle farming and arable farming</t>
  </si>
  <si>
    <r>
      <rPr>
        <sz val="10"/>
        <color theme="1"/>
        <rFont val="宋体"/>
        <charset val="134"/>
        <scheme val="minor"/>
      </rPr>
      <t>61</t>
    </r>
    <r>
      <rPr>
        <vertAlign val="subscript"/>
        <sz val="10"/>
        <color theme="1"/>
        <rFont val="宋体"/>
        <charset val="134"/>
        <scheme val="minor"/>
      </rPr>
      <t>FS</t>
    </r>
  </si>
  <si>
    <t>of which CHP units</t>
  </si>
  <si>
    <t>BGA 41</t>
  </si>
  <si>
    <t>1,175kW</t>
  </si>
  <si>
    <t>09/2017 - 08/2018</t>
  </si>
  <si>
    <t>Community facility of a farm and a municipal utility; Farm provides input materials</t>
  </si>
  <si>
    <r>
      <rPr>
        <sz val="10"/>
        <color theme="1"/>
        <rFont val="宋体"/>
        <charset val="134"/>
        <scheme val="minor"/>
      </rPr>
      <t>36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</si>
  <si>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103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</si>
  <si>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b/>
        <sz val="10"/>
        <color theme="1"/>
        <rFont val="宋体"/>
        <charset val="134"/>
        <scheme val="minor"/>
      </rPr>
      <t>recirculation</t>
    </r>
    <r>
      <rPr>
        <sz val="10"/>
        <color theme="1"/>
        <rFont val="宋体"/>
        <charset val="134"/>
        <scheme val="minor"/>
      </rPr>
      <t>(in addition to the input material mix):</t>
    </r>
  </si>
  <si>
    <t>Residual gas potential digestate:</t>
  </si>
  <si>
    <t>[L/kg TSk]</t>
  </si>
  <si>
    <t>Residual methane potential digestate</t>
  </si>
  <si>
    <t>CHP 1.1</t>
  </si>
  <si>
    <t>CHP 1.2</t>
  </si>
  <si>
    <t>Location</t>
  </si>
  <si>
    <t>VOV</t>
  </si>
  <si>
    <t>satellite</t>
  </si>
  <si>
    <t>12/21/2017</t>
  </si>
  <si>
    <t>CHP 2 &amp; 3 (Not at the BGA location):</t>
  </si>
  <si>
    <t>Table without recirculated quantities, only fresh input is shown</t>
  </si>
  <si>
    <t>annual average</t>
  </si>
  <si>
    <t>hours/ month</t>
  </si>
  <si>
    <t>Fermenter not recorded</t>
  </si>
  <si>
    <t>3a CHP master data</t>
  </si>
  <si>
    <t>engine designation</t>
  </si>
  <si>
    <t>(MAN) Leroy Somer LSA 46.2</t>
  </si>
  <si>
    <t>(MAN) LSA 47.2 M7C</t>
  </si>
  <si>
    <t>(MAN) Flex</t>
  </si>
  <si>
    <t>CHP manufacturer</t>
  </si>
  <si>
    <t>ENERTEC</t>
  </si>
  <si>
    <t>Gas engine (G) / dual fuel engine (Z)</t>
  </si>
  <si>
    <t>G</t>
  </si>
  <si>
    <t>Installed electrical power</t>
  </si>
  <si>
    <r>
      <rPr>
        <sz val="8"/>
        <color theme="1"/>
        <rFont val="宋体"/>
        <charset val="134"/>
        <scheme val="minor"/>
      </rPr>
      <t>[kW</t>
    </r>
    <r>
      <rPr>
        <vertAlign val="subscript"/>
        <sz val="8"/>
        <color theme="1"/>
        <rFont val="宋体"/>
        <charset val="134"/>
        <scheme val="minor"/>
      </rPr>
      <t>electrical</t>
    </r>
    <r>
      <rPr>
        <sz val="8"/>
        <color theme="1"/>
        <rFont val="宋体"/>
        <charset val="134"/>
        <scheme val="minor"/>
      </rPr>
      <t>]</t>
    </r>
  </si>
  <si>
    <t>Commissioning CHP</t>
  </si>
  <si>
    <t>[DD.MM.YY]</t>
  </si>
  <si>
    <t>electrical efficiency</t>
  </si>
  <si>
    <t>th. efficiency</t>
  </si>
  <si>
    <t>BGA 42</t>
  </si>
  <si>
    <t>with attached farm with dairy cattle farming and arable farming</t>
  </si>
  <si>
    <t>green oat silage</t>
  </si>
  <si>
    <r>
      <rPr>
        <sz val="10"/>
        <color theme="1"/>
        <rFont val="宋体"/>
        <charset val="134"/>
        <scheme val="minor"/>
      </rPr>
      <t>69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</si>
  <si>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126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</si>
  <si>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CH</t>
    </r>
    <r>
      <rPr>
        <vertAlign val="subscript"/>
        <sz val="10"/>
        <rFont val="Calibri"/>
        <charset val="134"/>
      </rPr>
      <t>4</t>
    </r>
    <r>
      <rPr>
        <sz val="10"/>
        <rFont val="Calibri"/>
        <charset val="134"/>
      </rPr>
      <t>-Productivity</t>
    </r>
  </si>
  <si>
    <r>
      <rPr>
        <sz val="10"/>
        <color theme="1"/>
        <rFont val="宋体"/>
        <charset val="134"/>
        <scheme val="minor"/>
      </rPr>
      <t>NH</t>
    </r>
    <r>
      <rPr>
        <vertAlign val="subscript"/>
        <sz val="10"/>
        <color indexed="8"/>
        <rFont val="Calibri"/>
        <charset val="134"/>
      </rPr>
      <t>4</t>
    </r>
    <r>
      <rPr>
        <sz val="10"/>
        <color indexed="8"/>
        <rFont val="Calibri"/>
        <charset val="134"/>
      </rPr>
      <t>-N in FM</t>
    </r>
  </si>
  <si>
    <r>
      <rPr>
        <sz val="10"/>
        <color theme="1"/>
        <rFont val="宋体"/>
        <charset val="134"/>
        <scheme val="minor"/>
      </rPr>
      <t>N</t>
    </r>
    <r>
      <rPr>
        <vertAlign val="subscript"/>
        <sz val="10"/>
        <color indexed="8"/>
        <rFont val="Calibri"/>
        <charset val="134"/>
      </rPr>
      <t>total</t>
    </r>
    <r>
      <rPr>
        <sz val="10"/>
        <color indexed="8"/>
        <rFont val="Calibri"/>
        <charset val="134"/>
      </rPr>
      <t>-N in FM</t>
    </r>
  </si>
  <si>
    <r>
      <rPr>
        <sz val="10"/>
        <color theme="1"/>
        <rFont val="宋体"/>
        <charset val="134"/>
        <scheme val="minor"/>
      </rPr>
      <t>CH</t>
    </r>
    <r>
      <rPr>
        <vertAlign val="subscript"/>
        <sz val="10"/>
        <color indexed="8"/>
        <rFont val="Calibri"/>
        <charset val="134"/>
      </rPr>
      <t>4</t>
    </r>
  </si>
  <si>
    <r>
      <rPr>
        <sz val="10"/>
        <color theme="1"/>
        <rFont val="宋体"/>
        <charset val="134"/>
        <scheme val="minor"/>
      </rPr>
      <t>CO</t>
    </r>
    <r>
      <rPr>
        <vertAlign val="subscript"/>
        <sz val="10"/>
        <color indexed="8"/>
        <rFont val="Calibri"/>
        <charset val="134"/>
      </rPr>
      <t>2</t>
    </r>
  </si>
  <si>
    <r>
      <rPr>
        <sz val="10"/>
        <color theme="1"/>
        <rFont val="宋体"/>
        <charset val="134"/>
        <scheme val="minor"/>
      </rPr>
      <t>O</t>
    </r>
    <r>
      <rPr>
        <vertAlign val="subscript"/>
        <sz val="10"/>
        <color indexed="8"/>
        <rFont val="Calibri"/>
        <charset val="134"/>
      </rPr>
      <t>2</t>
    </r>
  </si>
  <si>
    <r>
      <rPr>
        <sz val="10"/>
        <color theme="1"/>
        <rFont val="宋体"/>
        <charset val="134"/>
        <scheme val="minor"/>
      </rPr>
      <t>H</t>
    </r>
    <r>
      <rPr>
        <vertAlign val="subscript"/>
        <sz val="10"/>
        <color indexed="8"/>
        <rFont val="Calibri"/>
        <charset val="134"/>
      </rPr>
      <t>2</t>
    </r>
    <r>
      <rPr>
        <sz val="10"/>
        <color indexed="8"/>
        <rFont val="Calibri"/>
        <charset val="134"/>
      </rPr>
      <t>S</t>
    </r>
  </si>
  <si>
    <t>Green oat whole plant silage</t>
  </si>
  <si>
    <t>electricity index</t>
  </si>
  <si>
    <t>BGA 43</t>
  </si>
  <si>
    <t>Connection to an agricultural operation with animal husbandry and arable farming</t>
  </si>
  <si>
    <t>Structures</t>
  </si>
  <si>
    <t>operating parameters</t>
  </si>
  <si>
    <r>
      <rPr>
        <sz val="10"/>
        <color theme="1"/>
        <rFont val="宋体"/>
        <charset val="134"/>
        <scheme val="minor"/>
      </rPr>
      <t>98</t>
    </r>
    <r>
      <rPr>
        <vertAlign val="subscript"/>
        <sz val="10"/>
        <color theme="1"/>
        <rFont val="宋体"/>
        <charset val="134"/>
        <scheme val="minor"/>
      </rPr>
      <t>FS</t>
    </r>
  </si>
  <si>
    <t>digestate storage</t>
  </si>
  <si>
    <t>residual methane potential</t>
  </si>
  <si>
    <t>does not exist because the system was operated with extreme fluctuations</t>
  </si>
  <si>
    <t>thereof pumps &amp; control:</t>
  </si>
  <si>
    <t>of which CHP:</t>
  </si>
  <si>
    <t>B. Haase</t>
  </si>
  <si>
    <t>F1 BGA 43</t>
  </si>
  <si>
    <t>S. Hoffmann</t>
  </si>
  <si>
    <t>PEWO-BGS-190</t>
  </si>
  <si>
    <t>YADO CHP BG-2010</t>
  </si>
  <si>
    <t>YADO CHP BG-190</t>
  </si>
  <si>
    <t>PEWO</t>
  </si>
  <si>
    <t>YADO</t>
  </si>
  <si>
    <t>amount of electricity fed into the grid in 2017/18</t>
  </si>
  <si>
    <t>BGA 44</t>
  </si>
  <si>
    <t>12.2009</t>
  </si>
  <si>
    <t>Pig manure with liquid manure</t>
  </si>
  <si>
    <t>No values</t>
  </si>
  <si>
    <t>BGA 45</t>
  </si>
  <si>
    <t>2011</t>
  </si>
  <si>
    <r>
      <rPr>
        <sz val="10"/>
        <color theme="1"/>
        <rFont val="宋体"/>
        <charset val="134"/>
        <scheme val="minor"/>
      </rPr>
      <t>107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</si>
  <si>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rFont val="宋体"/>
        <charset val="134"/>
        <scheme val="minor"/>
      </rPr>
      <t>CH</t>
    </r>
    <r>
      <rPr>
        <vertAlign val="subscript"/>
        <sz val="10"/>
        <rFont val="Calibri"/>
        <charset val="134"/>
      </rPr>
      <t>4</t>
    </r>
  </si>
  <si>
    <r>
      <rPr>
        <sz val="10"/>
        <rFont val="宋体"/>
        <charset val="134"/>
        <scheme val="minor"/>
      </rPr>
      <t>CO</t>
    </r>
    <r>
      <rPr>
        <vertAlign val="subscript"/>
        <sz val="10"/>
        <rFont val="Calibri"/>
        <charset val="134"/>
      </rPr>
      <t>2</t>
    </r>
  </si>
  <si>
    <r>
      <rPr>
        <sz val="10"/>
        <rFont val="宋体"/>
        <charset val="134"/>
        <scheme val="minor"/>
      </rPr>
      <t>O</t>
    </r>
    <r>
      <rPr>
        <vertAlign val="subscript"/>
        <sz val="10"/>
        <rFont val="Calibri"/>
        <charset val="134"/>
      </rPr>
      <t>2</t>
    </r>
  </si>
  <si>
    <r>
      <rPr>
        <sz val="10"/>
        <rFont val="宋体"/>
        <charset val="134"/>
        <scheme val="minor"/>
      </rPr>
      <t>H</t>
    </r>
    <r>
      <rPr>
        <vertAlign val="subscript"/>
        <sz val="10"/>
        <rFont val="Calibri"/>
        <charset val="134"/>
      </rPr>
      <t>2</t>
    </r>
    <r>
      <rPr>
        <sz val="10"/>
        <rFont val="Calibri"/>
        <charset val="134"/>
      </rPr>
      <t>S</t>
    </r>
  </si>
  <si>
    <t>biogas production</t>
  </si>
  <si>
    <t>[m³/day]</t>
  </si>
  <si>
    <t>[m³/year]</t>
  </si>
  <si>
    <t>Biomethane production before feed-in</t>
  </si>
  <si>
    <t>BGA without biogas treatment</t>
  </si>
  <si>
    <t>Rye - whole plant silage</t>
  </si>
  <si>
    <t>Total raw biogas production</t>
  </si>
  <si>
    <t>Raw biogas use for processing</t>
  </si>
  <si>
    <t>degree of occupancy</t>
  </si>
  <si>
    <t>[m³/month]</t>
  </si>
  <si>
    <t>BGA 46</t>
  </si>
  <si>
    <t>animal excrement</t>
  </si>
  <si>
    <t>Connection to an agricultural operation with dairy farming and arable farming</t>
  </si>
  <si>
    <t>cattle manure *</t>
  </si>
  <si>
    <t>*Cattle manure with leftover feed</t>
  </si>
  <si>
    <r>
      <rPr>
        <sz val="10"/>
        <color theme="1"/>
        <rFont val="宋体"/>
        <charset val="134"/>
        <scheme val="minor"/>
      </rPr>
      <t>45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</si>
  <si>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50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</si>
  <si>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139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</si>
  <si>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0.4</t>
    </r>
    <r>
      <rPr>
        <vertAlign val="subscript"/>
        <sz val="10"/>
        <color theme="1"/>
        <rFont val="宋体"/>
        <charset val="134"/>
        <scheme val="minor"/>
      </rPr>
      <t>FS</t>
    </r>
  </si>
  <si>
    <t>Storage capacity open</t>
  </si>
  <si>
    <t>residual gas potential</t>
  </si>
  <si>
    <t>L/kgTS</t>
  </si>
  <si>
    <t>LCH4/kgoTS</t>
  </si>
  <si>
    <t>methane content</t>
  </si>
  <si>
    <t>Measurement after fermenter, before CHP</t>
  </si>
  <si>
    <t>MAN</t>
  </si>
  <si>
    <t>Electro Hagl</t>
  </si>
  <si>
    <r>
      <rPr>
        <sz val="8"/>
        <color theme="1"/>
        <rFont val="宋体"/>
        <charset val="134"/>
        <scheme val="minor"/>
      </rPr>
      <t>[kW</t>
    </r>
    <r>
      <rPr>
        <vertAlign val="subscript"/>
        <sz val="8"/>
        <color indexed="8"/>
        <rFont val="Calibri"/>
        <charset val="134"/>
      </rPr>
      <t>electrical</t>
    </r>
    <r>
      <rPr>
        <sz val="8"/>
        <color indexed="8"/>
        <rFont val="Calibri"/>
        <charset val="134"/>
      </rPr>
      <t>]</t>
    </r>
  </si>
  <si>
    <t>BGA 47</t>
  </si>
  <si>
    <t>637kW</t>
  </si>
  <si>
    <t>sheep dung</t>
  </si>
  <si>
    <r>
      <rPr>
        <sz val="10"/>
        <color theme="1"/>
        <rFont val="宋体"/>
        <charset val="134"/>
        <scheme val="minor"/>
      </rPr>
      <t>71</t>
    </r>
    <r>
      <rPr>
        <vertAlign val="subscript"/>
        <sz val="10"/>
        <color theme="1"/>
        <rFont val="宋体"/>
        <charset val="134"/>
        <scheme val="minor"/>
      </rPr>
      <t>FS</t>
    </r>
  </si>
  <si>
    <t>t/d</t>
  </si>
  <si>
    <t>605</t>
  </si>
  <si>
    <t>BGA 48</t>
  </si>
  <si>
    <r>
      <rPr>
        <sz val="10"/>
        <color theme="1"/>
        <rFont val="宋体"/>
        <charset val="134"/>
        <scheme val="minor"/>
      </rPr>
      <t>65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</si>
  <si>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61</t>
    </r>
    <r>
      <rPr>
        <vertAlign val="subscript"/>
        <sz val="10"/>
        <color theme="1"/>
        <rFont val="宋体"/>
        <charset val="134"/>
        <scheme val="minor"/>
      </rPr>
      <t>GSY</t>
    </r>
  </si>
  <si>
    <t>residential building</t>
  </si>
  <si>
    <t>237.5</t>
  </si>
  <si>
    <t>BGA 49</t>
  </si>
  <si>
    <t>900</t>
  </si>
  <si>
    <r>
      <rPr>
        <sz val="10"/>
        <color theme="1"/>
        <rFont val="宋体"/>
        <charset val="134"/>
        <scheme val="minor"/>
      </rPr>
      <t>64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</si>
  <si>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87</t>
    </r>
    <r>
      <rPr>
        <vertAlign val="subscript"/>
        <sz val="10"/>
        <color theme="1"/>
        <rFont val="宋体"/>
        <charset val="134"/>
        <scheme val="minor"/>
      </rPr>
      <t>GSY</t>
    </r>
  </si>
  <si>
    <t>71.25</t>
  </si>
  <si>
    <r>
      <rPr>
        <sz val="11"/>
        <color theme="1"/>
        <rFont val="宋体"/>
        <charset val="134"/>
        <scheme val="minor"/>
      </rPr>
      <t>personnel costs</t>
    </r>
    <r>
      <rPr>
        <vertAlign val="superscript"/>
        <sz val="11"/>
        <color theme="1"/>
        <rFont val="宋体"/>
        <charset val="134"/>
        <scheme val="minor"/>
      </rPr>
      <t>1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</si>
  <si>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Estimation of the personnel costs with 1 hour per day at 20 € hourly wage</t>
    </r>
  </si>
  <si>
    <t>BGA 50</t>
  </si>
  <si>
    <r>
      <rPr>
        <sz val="10"/>
        <color theme="1"/>
        <rFont val="宋体"/>
        <charset val="134"/>
        <scheme val="minor"/>
      </rPr>
      <t>50</t>
    </r>
    <r>
      <rPr>
        <vertAlign val="subscript"/>
        <sz val="10"/>
        <color theme="1"/>
        <rFont val="宋体"/>
        <charset val="134"/>
        <scheme val="minor"/>
      </rPr>
      <t>FS</t>
    </r>
  </si>
  <si>
    <t>e</t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</si>
  <si>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Electricity requirements covered by the company's own photovoltaic system; no internal accounting</t>
    </r>
  </si>
  <si>
    <t>BGA 51</t>
  </si>
  <si>
    <t>1,100kW</t>
  </si>
  <si>
    <t>1206</t>
  </si>
  <si>
    <r>
      <rPr>
        <sz val="10"/>
        <color theme="1"/>
        <rFont val="宋体"/>
        <charset val="134"/>
        <scheme val="minor"/>
      </rPr>
      <t>4.8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</si>
  <si>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76</t>
    </r>
    <r>
      <rPr>
        <vertAlign val="subscript"/>
        <sz val="10"/>
        <color theme="1"/>
        <rFont val="宋体"/>
        <charset val="134"/>
        <scheme val="minor"/>
      </rPr>
      <t>GSY</t>
    </r>
  </si>
  <si>
    <t>526.5</t>
  </si>
  <si>
    <t>BGA 52</t>
  </si>
  <si>
    <t>1,650kW</t>
  </si>
  <si>
    <r>
      <rPr>
        <sz val="10"/>
        <color theme="1"/>
        <rFont val="宋体"/>
        <charset val="134"/>
        <scheme val="minor"/>
      </rPr>
      <t>231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</si>
  <si>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100</t>
    </r>
    <r>
      <rPr>
        <vertAlign val="subscript"/>
        <sz val="10"/>
        <color theme="1"/>
        <rFont val="宋体"/>
        <charset val="134"/>
        <scheme val="minor"/>
      </rPr>
      <t>GSY</t>
    </r>
  </si>
  <si>
    <r>
      <rPr>
        <sz val="10"/>
        <color theme="1"/>
        <rFont val="宋体"/>
        <charset val="134"/>
        <scheme val="minor"/>
      </rPr>
      <t>0.2</t>
    </r>
    <r>
      <rPr>
        <vertAlign val="subscript"/>
        <sz val="10"/>
        <color theme="1"/>
        <rFont val="宋体"/>
        <charset val="134"/>
        <scheme val="minor"/>
      </rPr>
      <t>FS</t>
    </r>
  </si>
  <si>
    <t>BGA 51 heat</t>
  </si>
  <si>
    <t>615</t>
  </si>
  <si>
    <t>BGA 53</t>
  </si>
  <si>
    <t>11/2017 - 10/2018</t>
  </si>
  <si>
    <r>
      <rPr>
        <sz val="10"/>
        <color theme="1"/>
        <rFont val="宋体"/>
        <charset val="134"/>
        <scheme val="minor"/>
      </rPr>
      <t>3.9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</si>
  <si>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84</t>
    </r>
    <r>
      <rPr>
        <vertAlign val="subscript"/>
        <sz val="10"/>
        <color theme="1"/>
        <rFont val="宋体"/>
        <charset val="134"/>
        <scheme val="minor"/>
      </rPr>
      <t>FS</t>
    </r>
  </si>
  <si>
    <t>of which processing</t>
  </si>
  <si>
    <r>
      <rPr>
        <sz val="11"/>
        <rFont val="宋体"/>
        <charset val="134"/>
        <scheme val="minor"/>
      </rPr>
      <t>amount of electricity fed into the grid in 2017/18</t>
    </r>
    <r>
      <rPr>
        <vertAlign val="superscript"/>
        <sz val="11"/>
        <rFont val="宋体"/>
        <charset val="134"/>
        <scheme val="minor"/>
      </rPr>
      <t>1</t>
    </r>
  </si>
  <si>
    <r>
      <rPr>
        <sz val="11"/>
        <color theme="1"/>
        <rFont val="宋体"/>
        <charset val="134"/>
        <scheme val="minor"/>
      </rPr>
      <t>Other revenues (raw biogas)</t>
    </r>
    <r>
      <rPr>
        <vertAlign val="superscript"/>
        <sz val="11"/>
        <color theme="1"/>
        <rFont val="宋体"/>
        <charset val="134"/>
        <scheme val="minor"/>
      </rPr>
      <t>2</t>
    </r>
  </si>
  <si>
    <r>
      <rPr>
        <sz val="11"/>
        <color theme="1"/>
        <rFont val="宋体"/>
        <charset val="134"/>
        <scheme val="minor"/>
      </rPr>
      <t>substrate costs</t>
    </r>
    <r>
      <rPr>
        <vertAlign val="superscript"/>
        <sz val="11"/>
        <color theme="1"/>
        <rFont val="宋体"/>
        <charset val="134"/>
        <scheme val="minor"/>
      </rPr>
      <t>3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</si>
  <si>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calculated value from the sale of 10,664,364 m³ of raw biogas</t>
    </r>
  </si>
  <si>
    <r>
      <rPr>
        <vertAlign val="superscript"/>
        <sz val="11"/>
        <rFont val="宋体"/>
        <charset val="134"/>
        <scheme val="minor"/>
      </rPr>
      <t>2</t>
    </r>
    <r>
      <rPr>
        <sz val="11"/>
        <rFont val="宋体"/>
        <charset val="134"/>
        <scheme val="minor"/>
      </rPr>
      <t>Assumption of raw biogas sales price (without processing) i. hv 5.85 cents/kWh</t>
    </r>
    <r>
      <rPr>
        <vertAlign val="subscript"/>
        <sz val="11"/>
        <rFont val="宋体"/>
        <charset val="134"/>
        <scheme val="minor"/>
      </rPr>
      <t>HS</t>
    </r>
    <r>
      <rPr>
        <sz val="11"/>
        <rFont val="宋体"/>
        <charset val="134"/>
        <scheme val="minor"/>
      </rPr>
      <t>(dena, 2019) (eMikroBGAA, 2019)</t>
    </r>
  </si>
  <si>
    <r>
      <rPr>
        <vertAlign val="superscript"/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no differentiation according to individual substrate batches possible</t>
    </r>
  </si>
  <si>
    <t>BGA 54</t>
  </si>
  <si>
    <t>Single farm, connected farm with animal husbandry</t>
  </si>
  <si>
    <t>lying (cuboid)</t>
  </si>
  <si>
    <r>
      <rPr>
        <sz val="10"/>
        <color theme="1"/>
        <rFont val="宋体"/>
        <charset val="134"/>
        <scheme val="minor"/>
      </rPr>
      <t>67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</si>
  <si>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94</t>
    </r>
    <r>
      <rPr>
        <vertAlign val="subscript"/>
        <sz val="10"/>
        <color theme="1"/>
        <rFont val="宋体"/>
        <charset val="134"/>
        <scheme val="minor"/>
      </rPr>
      <t>GSY</t>
    </r>
  </si>
  <si>
    <t>5.7*</t>
  </si>
  <si>
    <t>heat network</t>
  </si>
  <si>
    <t>house, workshop</t>
  </si>
  <si>
    <t>BGA 55</t>
  </si>
  <si>
    <t>730kW</t>
  </si>
  <si>
    <t>2 VOV-CHP, gas processing to biomethane &amp; feeding into a micro gas network</t>
  </si>
  <si>
    <t>Soy whole plant silage</t>
  </si>
  <si>
    <r>
      <rPr>
        <sz val="10"/>
        <color theme="1"/>
        <rFont val="宋体"/>
        <charset val="134"/>
        <scheme val="minor"/>
      </rPr>
      <t>4.6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</si>
  <si>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83</t>
    </r>
    <r>
      <rPr>
        <vertAlign val="subscript"/>
        <sz val="10"/>
        <color theme="1"/>
        <rFont val="宋体"/>
        <charset val="134"/>
        <scheme val="minor"/>
      </rPr>
      <t>FS</t>
    </r>
  </si>
  <si>
    <t>0.7*</t>
  </si>
  <si>
    <t>CCM</t>
  </si>
  <si>
    <t>BGA 56</t>
  </si>
  <si>
    <t>930kW</t>
  </si>
  <si>
    <t>09.2017 - 08.2018</t>
  </si>
  <si>
    <t>3 VOV CHP, 2 satellite CHP</t>
  </si>
  <si>
    <t>Onion</t>
  </si>
  <si>
    <t>Potato</t>
  </si>
  <si>
    <t>Beetroot</t>
  </si>
  <si>
    <r>
      <rPr>
        <sz val="10"/>
        <color theme="1"/>
        <rFont val="宋体"/>
        <charset val="134"/>
        <scheme val="minor"/>
      </rPr>
      <t>151</t>
    </r>
    <r>
      <rPr>
        <vertAlign val="subscript"/>
        <sz val="10"/>
        <color theme="1"/>
        <rFont val="宋体"/>
        <charset val="134"/>
        <scheme val="minor"/>
      </rPr>
      <t>FS</t>
    </r>
  </si>
  <si>
    <t>2.1*</t>
  </si>
  <si>
    <t>of which drying, barn heating</t>
  </si>
  <si>
    <t>oct</t>
  </si>
  <si>
    <t>nov</t>
  </si>
  <si>
    <t>Apr</t>
  </si>
  <si>
    <t>jun</t>
  </si>
  <si>
    <t>BGA 57</t>
  </si>
  <si>
    <t>animal excrement, clover-grass, cereals</t>
  </si>
  <si>
    <t>Individual farm, connection to an organic farm with animal husbandry</t>
  </si>
  <si>
    <t>clover grass</t>
  </si>
  <si>
    <r>
      <rPr>
        <sz val="10"/>
        <color theme="1"/>
        <rFont val="宋体"/>
        <charset val="134"/>
        <scheme val="minor"/>
      </rPr>
      <t>148</t>
    </r>
    <r>
      <rPr>
        <vertAlign val="subscript"/>
        <sz val="10"/>
        <color theme="1"/>
        <rFont val="宋体"/>
        <charset val="134"/>
        <scheme val="minor"/>
      </rPr>
      <t>FS</t>
    </r>
  </si>
  <si>
    <t>4.8*</t>
  </si>
  <si>
    <t>thereof CHP and transformer losses</t>
  </si>
  <si>
    <t>Workshop,</t>
  </si>
  <si>
    <t>four residential buildings and</t>
  </si>
  <si>
    <t>courtyard building</t>
  </si>
  <si>
    <t>BGA 58</t>
  </si>
  <si>
    <t>1,701kW</t>
  </si>
  <si>
    <t>Single farm, connected farm with chicken fattening</t>
  </si>
  <si>
    <r>
      <rPr>
        <sz val="10"/>
        <color theme="1"/>
        <rFont val="宋体"/>
        <charset val="134"/>
        <scheme val="minor"/>
      </rPr>
      <t>179</t>
    </r>
    <r>
      <rPr>
        <vertAlign val="subscript"/>
        <sz val="10"/>
        <color theme="1"/>
        <rFont val="宋体"/>
        <charset val="134"/>
        <scheme val="minor"/>
      </rPr>
      <t>FS</t>
    </r>
  </si>
  <si>
    <t>0.6*</t>
  </si>
  <si>
    <t>Checked - diagram correct!</t>
  </si>
  <si>
    <t>BGA 59</t>
  </si>
  <si>
    <r>
      <rPr>
        <sz val="10"/>
        <color theme="1"/>
        <rFont val="宋体"/>
        <charset val="134"/>
        <scheme val="minor"/>
      </rPr>
      <t>95</t>
    </r>
    <r>
      <rPr>
        <vertAlign val="subscript"/>
        <sz val="10"/>
        <color theme="1"/>
        <rFont val="宋体"/>
        <charset val="134"/>
        <scheme val="minor"/>
      </rPr>
      <t>GSY</t>
    </r>
  </si>
  <si>
    <t>2.2*</t>
  </si>
  <si>
    <t>Diagram OK - checked</t>
  </si>
  <si>
    <t>BGA 60</t>
  </si>
  <si>
    <t>09/2017 - 10/2018</t>
  </si>
  <si>
    <r>
      <rPr>
        <sz val="10"/>
        <color theme="1"/>
        <rFont val="宋体"/>
        <charset val="134"/>
        <scheme val="minor"/>
      </rPr>
      <t>2.7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</si>
  <si>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0"/>
        <color theme="1"/>
        <rFont val="宋体"/>
        <charset val="134"/>
        <scheme val="minor"/>
      </rPr>
      <t>100</t>
    </r>
    <r>
      <rPr>
        <vertAlign val="subscript"/>
        <sz val="10"/>
        <color theme="1"/>
        <rFont val="宋体"/>
        <charset val="134"/>
        <scheme val="minor"/>
      </rPr>
      <t>FS</t>
    </r>
  </si>
  <si>
    <t>1.9*</t>
  </si>
  <si>
    <t>BGA 61</t>
  </si>
  <si>
    <t>100 kW (emergency power supply)</t>
  </si>
  <si>
    <r>
      <rPr>
        <sz val="10"/>
        <color theme="1"/>
        <rFont val="宋体"/>
        <charset val="134"/>
        <scheme val="minor"/>
      </rPr>
      <t>3.7</t>
    </r>
    <r>
      <rPr>
        <vertAlign val="subscript"/>
        <sz val="10"/>
        <color theme="1"/>
        <rFont val="宋体"/>
        <charset val="134"/>
        <scheme val="minor"/>
      </rPr>
      <t>FS</t>
    </r>
  </si>
  <si>
    <r>
      <rPr>
        <sz val="11"/>
        <rFont val="宋体"/>
        <charset val="134"/>
        <scheme val="minor"/>
      </rPr>
      <t>installed electrical power</t>
    </r>
    <r>
      <rPr>
        <vertAlign val="superscript"/>
        <sz val="11"/>
        <rFont val="宋体"/>
        <charset val="134"/>
        <scheme val="minor"/>
      </rPr>
      <t>1</t>
    </r>
  </si>
  <si>
    <r>
      <rPr>
        <sz val="11"/>
        <rFont val="宋体"/>
        <charset val="134"/>
        <scheme val="minor"/>
      </rPr>
      <t>amount of electricity fed into the grid in 2017</t>
    </r>
    <r>
      <rPr>
        <vertAlign val="superscript"/>
        <sz val="11"/>
        <rFont val="宋体"/>
        <charset val="134"/>
        <scheme val="minor"/>
      </rPr>
      <t>2</t>
    </r>
  </si>
  <si>
    <r>
      <rPr>
        <sz val="11"/>
        <color theme="1"/>
        <rFont val="宋体"/>
        <charset val="134"/>
        <scheme val="minor"/>
      </rPr>
      <t>Other revenues (raw biogas)</t>
    </r>
    <r>
      <rPr>
        <vertAlign val="superscript"/>
        <sz val="11"/>
        <color theme="1"/>
        <rFont val="宋体"/>
        <charset val="134"/>
        <scheme val="minor"/>
      </rPr>
      <t>3</t>
    </r>
  </si>
  <si>
    <r>
      <rPr>
        <vertAlign val="superscript"/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CHP for emergency power supply</t>
    </r>
  </si>
  <si>
    <r>
      <rPr>
        <vertAlign val="superscript"/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calculated value from the sale of 9,337,756 m³ of raw biogas</t>
    </r>
  </si>
  <si>
    <r>
      <rPr>
        <vertAlign val="superscript"/>
        <sz val="11"/>
        <rFont val="宋体"/>
        <charset val="134"/>
        <scheme val="minor"/>
      </rPr>
      <t>3</t>
    </r>
    <r>
      <rPr>
        <sz val="11"/>
        <rFont val="宋体"/>
        <charset val="134"/>
        <scheme val="minor"/>
      </rPr>
      <t>Assumption of raw biogas sales price (without processing) i. hv 5.85 cents/kWh</t>
    </r>
    <r>
      <rPr>
        <vertAlign val="subscript"/>
        <sz val="11"/>
        <rFont val="宋体"/>
        <charset val="134"/>
        <scheme val="minor"/>
      </rPr>
      <t>HS</t>
    </r>
    <r>
      <rPr>
        <sz val="11"/>
        <rFont val="宋体"/>
        <charset val="134"/>
        <scheme val="minor"/>
      </rPr>
      <t>(dena, 2019) (eMikroBGAA, 2019)</t>
    </r>
  </si>
</sst>
</file>

<file path=xl/styles.xml><?xml version="1.0" encoding="utf-8"?>
<styleSheet xmlns="http://schemas.openxmlformats.org/spreadsheetml/2006/main">
  <numFmts count="26">
    <numFmt numFmtId="176" formatCode="#,##0.0000"/>
    <numFmt numFmtId="177" formatCode="#,##0.00000"/>
    <numFmt numFmtId="178" formatCode="#,##0.00\ &quot;€&quot;"/>
    <numFmt numFmtId="179" formatCode="#,##0.000"/>
    <numFmt numFmtId="180" formatCode="&quot;BK-17-&quot;0000"/>
    <numFmt numFmtId="181" formatCode="yyyy"/>
    <numFmt numFmtId="44" formatCode="_ &quot;￥&quot;* #,##0.00_ ;_ &quot;￥&quot;* \-#,##0.00_ ;_ &quot;￥&quot;* &quot;-&quot;??_ ;_ @_ "/>
    <numFmt numFmtId="182" formatCode="_-* #,##0.0_-;\-* #,##0.0_-;_-* &quot;-&quot;??_-;_-@_-"/>
    <numFmt numFmtId="183" formatCode="_-* #,##0_-;\-* #,##0_-;_-* &quot;-&quot;??_-;_-@_-"/>
    <numFmt numFmtId="184" formatCode="0.000"/>
    <numFmt numFmtId="185" formatCode="_-* #,##0.0\ _€_-;\-* #,##0.0\ _€_-;_-* &quot;-&quot;??\ _€_-;_-@_-"/>
    <numFmt numFmtId="186" formatCode="_-* #,##0.0\ _€_-;\-* #,##0.0\ _€_-;_-* &quot;-&quot;?\ _€_-;_-@_-"/>
    <numFmt numFmtId="187" formatCode="0.0%"/>
    <numFmt numFmtId="188" formatCode="0.000000000"/>
    <numFmt numFmtId="189" formatCode="_-* #,##0.00\ _€_-;\-* #,##0.00\ _€_-;_-* &quot;-&quot;??\ _€_-;_-@_-"/>
    <numFmt numFmtId="190" formatCode="#,##0.0"/>
    <numFmt numFmtId="191" formatCode="mmm"/>
    <numFmt numFmtId="192" formatCode="mm/yyyy"/>
    <numFmt numFmtId="193" formatCode="&quot;BK-18-&quot;0000"/>
    <numFmt numFmtId="194" formatCode="0.0"/>
    <numFmt numFmtId="195" formatCode="[$-407]mmm;@"/>
    <numFmt numFmtId="196" formatCode="[$-407]mmmm\ yy;@"/>
    <numFmt numFmtId="197" formatCode="_-* #,##0\ _€_-;\-* #,##0\ _€_-;_-* &quot;-&quot;??\ _€_-;_-@_-"/>
    <numFmt numFmtId="42" formatCode="_ &quot;￥&quot;* #,##0_ ;_ &quot;￥&quot;* \-#,##0_ ;_ &quot;￥&quot;* &quot;-&quot;_ ;_ @_ "/>
    <numFmt numFmtId="198" formatCode="_-* #,##0.00_-;\-* #,##0.00_-;_-* &quot;-&quot;??_-;_-@_-"/>
    <numFmt numFmtId="41" formatCode="_ * #,##0_ ;_ * \-#,##0_ ;_ * &quot;-&quot;_ ;_ @_ "/>
  </numFmts>
  <fonts count="73">
    <font>
      <sz val="11"/>
      <color theme="1"/>
      <name val="宋体"/>
      <charset val="134"/>
      <scheme val="minor"/>
    </font>
    <font>
      <b/>
      <sz val="18"/>
      <color theme="0"/>
      <name val="宋体"/>
      <charset val="134"/>
      <scheme val="minor"/>
    </font>
    <font>
      <sz val="1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i/>
      <sz val="11"/>
      <color theme="1"/>
      <name val="宋体"/>
      <charset val="134"/>
      <scheme val="minor"/>
    </font>
    <font>
      <b/>
      <i/>
      <sz val="11"/>
      <color theme="1"/>
      <name val="宋体"/>
      <charset val="134"/>
      <scheme val="minor"/>
    </font>
    <font>
      <vertAlign val="superscript"/>
      <sz val="11"/>
      <name val="宋体"/>
      <charset val="134"/>
      <scheme val="minor"/>
    </font>
    <font>
      <i/>
      <sz val="11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0"/>
      <color rgb="FF00B05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2"/>
      <name val="宋体"/>
      <charset val="134"/>
      <scheme val="minor"/>
    </font>
    <font>
      <sz val="10"/>
      <color rgb="FFFF0000"/>
      <name val="宋体"/>
      <charset val="134"/>
      <scheme val="minor"/>
    </font>
    <font>
      <vertAlign val="subscript"/>
      <sz val="10"/>
      <color theme="1"/>
      <name val="宋体"/>
      <charset val="134"/>
      <scheme val="minor"/>
    </font>
    <font>
      <b/>
      <sz val="10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theme="1"/>
      <name val="Century Gothic"/>
      <charset val="134"/>
    </font>
    <font>
      <sz val="11"/>
      <color rgb="FF00B0F0"/>
      <name val="宋体"/>
      <charset val="134"/>
      <scheme val="minor"/>
    </font>
    <font>
      <b/>
      <i/>
      <sz val="9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name val="Century Gothic"/>
      <charset val="134"/>
    </font>
    <font>
      <b/>
      <sz val="10"/>
      <color rgb="FFFF0000"/>
      <name val="宋体"/>
      <charset val="134"/>
      <scheme val="minor"/>
    </font>
    <font>
      <b/>
      <sz val="11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vertAlign val="superscript"/>
      <sz val="11"/>
      <color theme="1"/>
      <name val="宋体"/>
      <charset val="134"/>
      <scheme val="minor"/>
    </font>
    <font>
      <sz val="9"/>
      <color rgb="FF000000"/>
      <name val="Arial"/>
      <charset val="134"/>
    </font>
    <font>
      <vertAlign val="subscript"/>
      <sz val="10"/>
      <name val="宋体"/>
      <charset val="134"/>
      <scheme val="minor"/>
    </font>
    <font>
      <sz val="8"/>
      <name val="宋体"/>
      <charset val="134"/>
      <scheme val="minor"/>
    </font>
    <font>
      <sz val="10"/>
      <color theme="1"/>
      <name val="Arial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indexed="8"/>
      <name val="Century Gothic"/>
      <charset val="134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indexed="8"/>
      <name val="Calibri"/>
      <charset val="1"/>
    </font>
    <font>
      <i/>
      <vertAlign val="superscript"/>
      <sz val="11"/>
      <color theme="1"/>
      <name val="宋体"/>
      <charset val="134"/>
      <scheme val="minor"/>
    </font>
    <font>
      <vertAlign val="subscript"/>
      <sz val="11"/>
      <name val="宋体"/>
      <charset val="134"/>
      <scheme val="minor"/>
    </font>
    <font>
      <sz val="10"/>
      <name val="Calibri"/>
      <charset val="134"/>
    </font>
    <font>
      <vertAlign val="subscript"/>
      <sz val="8"/>
      <color indexed="8"/>
      <name val="Calibri"/>
      <charset val="134"/>
    </font>
    <font>
      <sz val="8"/>
      <color indexed="8"/>
      <name val="Calibri"/>
      <charset val="134"/>
    </font>
    <font>
      <vertAlign val="subscript"/>
      <sz val="10"/>
      <name val="Calibri"/>
      <charset val="134"/>
    </font>
    <font>
      <vertAlign val="subscript"/>
      <sz val="10"/>
      <color indexed="8"/>
      <name val="Calibri"/>
      <charset val="134"/>
    </font>
    <font>
      <sz val="10"/>
      <color indexed="8"/>
      <name val="Calibri"/>
      <charset val="134"/>
    </font>
    <font>
      <vertAlign val="subscript"/>
      <sz val="8"/>
      <color theme="1"/>
      <name val="宋体"/>
      <charset val="134"/>
      <scheme val="minor"/>
    </font>
    <font>
      <vertAlign val="subscript"/>
      <sz val="10"/>
      <color rgb="FFFF0000"/>
      <name val="宋体"/>
      <charset val="134"/>
      <scheme val="minor"/>
    </font>
    <font>
      <sz val="9"/>
      <name val="Segoe UI"/>
      <charset val="134"/>
    </font>
    <font>
      <b/>
      <sz val="9"/>
      <name val="Segoe UI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F3FF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</fills>
  <borders count="79">
    <border>
      <left/>
      <right/>
      <top/>
      <bottom/>
      <diagonal/>
    </border>
    <border>
      <left style="medium">
        <color theme="5"/>
      </left>
      <right/>
      <top style="medium">
        <color theme="5"/>
      </top>
      <bottom style="medium">
        <color theme="5"/>
      </bottom>
      <diagonal/>
    </border>
    <border>
      <left/>
      <right/>
      <top style="medium">
        <color theme="5"/>
      </top>
      <bottom style="medium">
        <color theme="5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 style="medium">
        <color theme="5"/>
      </top>
      <bottom style="medium">
        <color theme="5"/>
      </bottom>
      <diagonal/>
    </border>
    <border>
      <left/>
      <right style="medium">
        <color theme="5"/>
      </right>
      <top style="medium">
        <color theme="5"/>
      </top>
      <bottom/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medium">
        <color theme="5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-0.499984740745262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theme="4" tint="-0.499984740745262"/>
      </left>
      <right/>
      <top style="thin">
        <color auto="1"/>
      </top>
      <bottom/>
      <diagonal/>
    </border>
    <border>
      <left/>
      <right/>
      <top/>
      <bottom style="thin">
        <color theme="4" tint="-0.499984740745262"/>
      </bottom>
      <diagonal/>
    </border>
    <border>
      <left/>
      <right/>
      <top style="thin">
        <color theme="4" tint="-0.499984740745262"/>
      </top>
      <bottom/>
      <diagonal/>
    </border>
    <border>
      <left style="thin">
        <color theme="4" tint="-0.499984740745262"/>
      </left>
      <right/>
      <top/>
      <bottom style="thin">
        <color auto="1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thin">
        <color auto="1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 tint="-0.499984740745262"/>
      </right>
      <top/>
      <bottom/>
      <diagonal/>
    </border>
    <border>
      <left/>
      <right style="thin">
        <color theme="4" tint="-0.499984740745262"/>
      </right>
      <top/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theme="4" tint="-0.499984740745262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0"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4" fillId="35" borderId="0" applyNumberFormat="0" applyBorder="0" applyAlignment="0" applyProtection="0">
      <alignment vertical="center"/>
    </xf>
    <xf numFmtId="196" fontId="60" fillId="0" borderId="0"/>
    <xf numFmtId="0" fontId="41" fillId="3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52" fillId="23" borderId="74" applyNumberFormat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189" fontId="0" fillId="0" borderId="0" applyFont="0" applyFill="0" applyBorder="0" applyAlignment="0" applyProtection="0"/>
    <xf numFmtId="0" fontId="41" fillId="40" borderId="0" applyNumberFormat="0" applyBorder="0" applyAlignment="0" applyProtection="0">
      <alignment vertical="center"/>
    </xf>
    <xf numFmtId="44" fontId="42" fillId="0" borderId="0" applyFont="0" applyFill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0" fontId="44" fillId="31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55" fillId="28" borderId="74" applyNumberFormat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54" fillId="27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  <xf numFmtId="0" fontId="51" fillId="0" borderId="73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7" fillId="37" borderId="76" applyNumberFormat="0" applyAlignment="0" applyProtection="0">
      <alignment vertical="center"/>
    </xf>
    <xf numFmtId="0" fontId="56" fillId="28" borderId="75" applyNumberFormat="0" applyAlignment="0" applyProtection="0">
      <alignment vertical="center"/>
    </xf>
    <xf numFmtId="0" fontId="59" fillId="0" borderId="77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42" fontId="42" fillId="0" borderId="0" applyFon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198" fontId="0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2" fillId="41" borderId="78" applyNumberFormat="0" applyFont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0" fontId="58" fillId="0" borderId="77" applyNumberFormat="0" applyFill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0" fillId="0" borderId="72" applyNumberFormat="0" applyFill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39" fillId="0" borderId="71" applyNumberFormat="0" applyFill="0" applyAlignment="0" applyProtection="0">
      <alignment vertical="center"/>
    </xf>
  </cellStyleXfs>
  <cellXfs count="877">
    <xf numFmtId="0" fontId="0" fillId="0" borderId="0" xfId="0"/>
    <xf numFmtId="0" fontId="0" fillId="2" borderId="0" xfId="0" applyFill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5" xfId="0" applyFont="1" applyFill="1" applyBorder="1" applyAlignment="1">
      <alignment vertical="center"/>
    </xf>
    <xf numFmtId="0" fontId="2" fillId="4" borderId="6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5" borderId="3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7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7" xfId="0" applyFont="1" applyFill="1" applyBorder="1" applyAlignment="1">
      <alignment vertical="center"/>
    </xf>
    <xf numFmtId="0" fontId="0" fillId="2" borderId="0" xfId="0" applyFill="1"/>
    <xf numFmtId="0" fontId="7" fillId="2" borderId="0" xfId="0" applyFont="1" applyFill="1"/>
    <xf numFmtId="197" fontId="2" fillId="4" borderId="4" xfId="0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left" vertical="center"/>
    </xf>
    <xf numFmtId="197" fontId="5" fillId="4" borderId="0" xfId="42" applyNumberFormat="1" applyFont="1" applyFill="1" applyBorder="1" applyAlignment="1">
      <alignment vertical="center"/>
    </xf>
    <xf numFmtId="0" fontId="2" fillId="4" borderId="6" xfId="0" applyFont="1" applyFill="1" applyBorder="1" applyAlignment="1">
      <alignment horizontal="left" vertical="center"/>
    </xf>
    <xf numFmtId="2" fontId="0" fillId="2" borderId="0" xfId="19" applyNumberFormat="1" applyFont="1" applyFill="1" applyBorder="1" applyAlignment="1">
      <alignment vertical="center"/>
    </xf>
    <xf numFmtId="9" fontId="0" fillId="2" borderId="0" xfId="19" applyFont="1" applyFill="1" applyBorder="1" applyAlignment="1">
      <alignment vertical="center"/>
    </xf>
    <xf numFmtId="1" fontId="4" fillId="2" borderId="6" xfId="19" applyNumberFormat="1" applyFont="1" applyFill="1" applyBorder="1" applyAlignment="1">
      <alignment vertical="center"/>
    </xf>
    <xf numFmtId="9" fontId="4" fillId="2" borderId="6" xfId="19" applyFont="1" applyFill="1" applyBorder="1" applyAlignment="1">
      <alignment vertical="center"/>
    </xf>
    <xf numFmtId="2" fontId="3" fillId="5" borderId="4" xfId="0" applyNumberFormat="1" applyFont="1" applyFill="1" applyBorder="1" applyAlignment="1">
      <alignment vertical="center"/>
    </xf>
    <xf numFmtId="2" fontId="5" fillId="2" borderId="0" xfId="0" applyNumberFormat="1" applyFont="1" applyFill="1" applyAlignment="1">
      <alignment vertical="center"/>
    </xf>
    <xf numFmtId="189" fontId="8" fillId="2" borderId="0" xfId="42" applyNumberFormat="1" applyFont="1" applyFill="1" applyBorder="1" applyAlignment="1">
      <alignment vertical="center"/>
    </xf>
    <xf numFmtId="2" fontId="6" fillId="2" borderId="0" xfId="0" applyNumberFormat="1" applyFont="1" applyFill="1" applyAlignment="1">
      <alignment vertical="center"/>
    </xf>
    <xf numFmtId="0" fontId="1" fillId="3" borderId="8" xfId="0" applyFont="1" applyFill="1" applyBorder="1" applyAlignment="1">
      <alignment horizontal="center" vertical="center"/>
    </xf>
    <xf numFmtId="197" fontId="2" fillId="4" borderId="4" xfId="42" applyNumberFormat="1" applyFont="1" applyFill="1" applyBorder="1" applyAlignment="1">
      <alignment vertical="center"/>
    </xf>
    <xf numFmtId="0" fontId="2" fillId="4" borderId="9" xfId="42" applyNumberFormat="1" applyFont="1" applyFill="1" applyBorder="1" applyAlignment="1">
      <alignment horizontal="left" vertical="center"/>
    </xf>
    <xf numFmtId="197" fontId="2" fillId="4" borderId="6" xfId="42" applyNumberFormat="1" applyFont="1" applyFill="1" applyBorder="1" applyAlignment="1">
      <alignment vertical="center"/>
    </xf>
    <xf numFmtId="0" fontId="2" fillId="4" borderId="10" xfId="42" applyNumberFormat="1" applyFont="1" applyFill="1" applyBorder="1" applyAlignment="1">
      <alignment horizontal="left" vertical="center"/>
    </xf>
    <xf numFmtId="0" fontId="3" fillId="5" borderId="9" xfId="0" applyFont="1" applyFill="1" applyBorder="1" applyAlignment="1">
      <alignment vertical="center"/>
    </xf>
    <xf numFmtId="197" fontId="0" fillId="2" borderId="0" xfId="42" applyNumberFormat="1" applyFont="1" applyFill="1" applyBorder="1" applyAlignment="1">
      <alignment vertical="center"/>
    </xf>
    <xf numFmtId="0" fontId="0" fillId="2" borderId="11" xfId="0" applyFill="1" applyBorder="1" applyAlignment="1">
      <alignment vertical="center"/>
    </xf>
    <xf numFmtId="197" fontId="4" fillId="2" borderId="6" xfId="42" applyNumberFormat="1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5" fillId="2" borderId="11" xfId="0" applyFont="1" applyFill="1" applyBorder="1" applyAlignment="1">
      <alignment vertical="center"/>
    </xf>
    <xf numFmtId="197" fontId="5" fillId="2" borderId="0" xfId="42" applyNumberFormat="1" applyFont="1" applyFill="1" applyBorder="1" applyAlignment="1">
      <alignment vertical="center"/>
    </xf>
    <xf numFmtId="189" fontId="0" fillId="2" borderId="0" xfId="42" applyNumberFormat="1" applyFont="1" applyFill="1" applyBorder="1" applyAlignment="1">
      <alignment vertical="center"/>
    </xf>
    <xf numFmtId="197" fontId="4" fillId="2" borderId="6" xfId="0" applyNumberFormat="1" applyFont="1" applyFill="1" applyBorder="1" applyAlignment="1">
      <alignment vertical="center"/>
    </xf>
    <xf numFmtId="0" fontId="0" fillId="0" borderId="0" xfId="0" applyAlignment="1">
      <alignment wrapText="1"/>
    </xf>
    <xf numFmtId="0" fontId="9" fillId="7" borderId="12" xfId="0" applyFont="1" applyFill="1" applyBorder="1" applyAlignment="1">
      <alignment horizontal="center" vertical="center"/>
    </xf>
    <xf numFmtId="0" fontId="9" fillId="7" borderId="13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vertical="center"/>
    </xf>
    <xf numFmtId="0" fontId="11" fillId="5" borderId="15" xfId="0" applyFont="1" applyFill="1" applyBorder="1" applyAlignment="1">
      <alignment vertical="center"/>
    </xf>
    <xf numFmtId="0" fontId="12" fillId="5" borderId="15" xfId="0" applyFont="1" applyFill="1" applyBorder="1" applyAlignment="1">
      <alignment vertical="center"/>
    </xf>
    <xf numFmtId="0" fontId="13" fillId="5" borderId="16" xfId="0" applyFont="1" applyFill="1" applyBorder="1" applyAlignment="1">
      <alignment vertical="center"/>
    </xf>
    <xf numFmtId="0" fontId="13" fillId="5" borderId="0" xfId="0" applyFont="1" applyFill="1" applyAlignment="1">
      <alignment horizontal="left"/>
    </xf>
    <xf numFmtId="0" fontId="13" fillId="5" borderId="0" xfId="0" applyFont="1" applyFill="1"/>
    <xf numFmtId="0" fontId="13" fillId="5" borderId="16" xfId="0" applyFont="1" applyFill="1" applyBorder="1"/>
    <xf numFmtId="0" fontId="13" fillId="5" borderId="0" xfId="0" applyFont="1" applyFill="1" applyAlignment="1">
      <alignment horizontal="left" vertical="center"/>
    </xf>
    <xf numFmtId="0" fontId="13" fillId="5" borderId="0" xfId="1" applyFont="1" applyFill="1" applyAlignment="1">
      <alignment vertical="center"/>
    </xf>
    <xf numFmtId="0" fontId="13" fillId="5" borderId="16" xfId="0" applyFont="1" applyFill="1" applyBorder="1" applyAlignment="1">
      <alignment wrapText="1"/>
    </xf>
    <xf numFmtId="0" fontId="13" fillId="5" borderId="17" xfId="0" applyFont="1" applyFill="1" applyBorder="1" applyAlignment="1">
      <alignment wrapText="1"/>
    </xf>
    <xf numFmtId="0" fontId="13" fillId="5" borderId="18" xfId="0" applyFont="1" applyFill="1" applyBorder="1"/>
    <xf numFmtId="0" fontId="10" fillId="5" borderId="16" xfId="0" applyFont="1" applyFill="1" applyBorder="1" applyAlignment="1">
      <alignment vertical="center"/>
    </xf>
    <xf numFmtId="0" fontId="12" fillId="5" borderId="0" xfId="0" applyFont="1" applyFill="1"/>
    <xf numFmtId="0" fontId="14" fillId="5" borderId="0" xfId="0" applyFont="1" applyFill="1"/>
    <xf numFmtId="0" fontId="12" fillId="5" borderId="16" xfId="0" applyFont="1" applyFill="1" applyBorder="1"/>
    <xf numFmtId="0" fontId="14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 vertical="center"/>
    </xf>
    <xf numFmtId="3" fontId="12" fillId="5" borderId="0" xfId="0" applyNumberFormat="1" applyFont="1" applyFill="1" applyAlignment="1">
      <alignment horizontal="center"/>
    </xf>
    <xf numFmtId="0" fontId="13" fillId="5" borderId="0" xfId="0" applyFont="1" applyFill="1" applyAlignment="1">
      <alignment horizontal="center"/>
    </xf>
    <xf numFmtId="3" fontId="13" fillId="5" borderId="0" xfId="0" applyNumberFormat="1" applyFont="1" applyFill="1" applyAlignment="1">
      <alignment horizontal="center"/>
    </xf>
    <xf numFmtId="0" fontId="15" fillId="5" borderId="14" xfId="0" applyFont="1" applyFill="1" applyBorder="1"/>
    <xf numFmtId="0" fontId="13" fillId="5" borderId="15" xfId="0" applyFont="1" applyFill="1" applyBorder="1"/>
    <xf numFmtId="0" fontId="13" fillId="5" borderId="15" xfId="0" applyFont="1" applyFill="1" applyBorder="1" applyAlignment="1">
      <alignment horizontal="center"/>
    </xf>
    <xf numFmtId="194" fontId="12" fillId="5" borderId="0" xfId="0" applyNumberFormat="1" applyFont="1" applyFill="1" applyAlignment="1">
      <alignment horizontal="center"/>
    </xf>
    <xf numFmtId="0" fontId="13" fillId="5" borderId="0" xfId="3" applyFont="1" applyFill="1"/>
    <xf numFmtId="1" fontId="12" fillId="5" borderId="0" xfId="0" applyNumberFormat="1" applyFont="1" applyFill="1" applyAlignment="1">
      <alignment horizontal="center"/>
    </xf>
    <xf numFmtId="0" fontId="12" fillId="5" borderId="0" xfId="0" applyFont="1" applyFill="1" applyAlignment="1">
      <alignment horizontal="center"/>
    </xf>
    <xf numFmtId="1" fontId="12" fillId="8" borderId="0" xfId="0" applyNumberFormat="1" applyFont="1" applyFill="1" applyAlignment="1">
      <alignment horizontal="center"/>
    </xf>
    <xf numFmtId="2" fontId="12" fillId="5" borderId="0" xfId="0" applyNumberFormat="1" applyFont="1" applyFill="1" applyAlignment="1">
      <alignment horizontal="center"/>
    </xf>
    <xf numFmtId="0" fontId="12" fillId="5" borderId="17" xfId="0" applyFont="1" applyFill="1" applyBorder="1"/>
    <xf numFmtId="0" fontId="13" fillId="5" borderId="15" xfId="1" applyFont="1" applyFill="1" applyBorder="1"/>
    <xf numFmtId="0" fontId="12" fillId="5" borderId="15" xfId="0" applyFont="1" applyFill="1" applyBorder="1" applyAlignment="1">
      <alignment horizontal="center"/>
    </xf>
    <xf numFmtId="3" fontId="12" fillId="5" borderId="16" xfId="0" applyNumberFormat="1" applyFont="1" applyFill="1" applyBorder="1" applyAlignment="1">
      <alignment horizontal="center"/>
    </xf>
    <xf numFmtId="3" fontId="13" fillId="5" borderId="16" xfId="0" applyNumberFormat="1" applyFont="1" applyFill="1" applyBorder="1" applyAlignment="1">
      <alignment horizontal="left"/>
    </xf>
    <xf numFmtId="1" fontId="12" fillId="5" borderId="16" xfId="0" applyNumberFormat="1" applyFont="1" applyFill="1" applyBorder="1" applyAlignment="1">
      <alignment horizontal="center"/>
    </xf>
    <xf numFmtId="0" fontId="16" fillId="5" borderId="16" xfId="0" applyFont="1" applyFill="1" applyBorder="1"/>
    <xf numFmtId="0" fontId="13" fillId="5" borderId="17" xfId="0" applyFont="1" applyFill="1" applyBorder="1" applyAlignment="1">
      <alignment vertical="center"/>
    </xf>
    <xf numFmtId="3" fontId="12" fillId="5" borderId="18" xfId="0" applyNumberFormat="1" applyFont="1" applyFill="1" applyBorder="1" applyAlignment="1">
      <alignment horizontal="center"/>
    </xf>
    <xf numFmtId="0" fontId="10" fillId="5" borderId="16" xfId="0" applyFont="1" applyFill="1" applyBorder="1"/>
    <xf numFmtId="0" fontId="12" fillId="5" borderId="0" xfId="0" applyFont="1" applyFill="1" applyAlignment="1">
      <alignment horizontal="left"/>
    </xf>
    <xf numFmtId="3" fontId="12" fillId="5" borderId="0" xfId="0" applyNumberFormat="1" applyFont="1" applyFill="1"/>
    <xf numFmtId="3" fontId="12" fillId="5" borderId="0" xfId="0" applyNumberFormat="1" applyFont="1" applyFill="1" applyAlignment="1">
      <alignment horizontal="left"/>
    </xf>
    <xf numFmtId="0" fontId="12" fillId="5" borderId="18" xfId="0" applyFont="1" applyFill="1" applyBorder="1"/>
    <xf numFmtId="196" fontId="13" fillId="5" borderId="0" xfId="0" applyNumberFormat="1" applyFont="1" applyFill="1" applyAlignment="1">
      <alignment vertical="center"/>
    </xf>
    <xf numFmtId="17" fontId="13" fillId="5" borderId="0" xfId="0" applyNumberFormat="1" applyFont="1" applyFill="1"/>
    <xf numFmtId="0" fontId="14" fillId="5" borderId="19" xfId="0" applyFont="1" applyFill="1" applyBorder="1" applyAlignment="1">
      <alignment horizontal="center"/>
    </xf>
    <xf numFmtId="3" fontId="12" fillId="5" borderId="19" xfId="0" applyNumberFormat="1" applyFont="1" applyFill="1" applyBorder="1" applyAlignment="1">
      <alignment horizontal="center"/>
    </xf>
    <xf numFmtId="0" fontId="12" fillId="5" borderId="18" xfId="0" applyFont="1" applyFill="1" applyBorder="1" applyAlignment="1">
      <alignment horizontal="center"/>
    </xf>
    <xf numFmtId="0" fontId="13" fillId="5" borderId="19" xfId="0" applyFont="1" applyFill="1" applyBorder="1" applyAlignment="1">
      <alignment horizontal="center"/>
    </xf>
    <xf numFmtId="0" fontId="13" fillId="5" borderId="20" xfId="0" applyFont="1" applyFill="1" applyBorder="1" applyAlignment="1">
      <alignment horizontal="center"/>
    </xf>
    <xf numFmtId="0" fontId="12" fillId="5" borderId="19" xfId="0" applyFont="1" applyFill="1" applyBorder="1" applyAlignment="1">
      <alignment horizontal="center"/>
    </xf>
    <xf numFmtId="194" fontId="12" fillId="5" borderId="19" xfId="0" applyNumberFormat="1" applyFont="1" applyFill="1" applyBorder="1" applyAlignment="1">
      <alignment horizontal="center"/>
    </xf>
    <xf numFmtId="1" fontId="17" fillId="5" borderId="19" xfId="0" applyNumberFormat="1" applyFont="1" applyFill="1" applyBorder="1" applyAlignment="1">
      <alignment horizontal="center"/>
    </xf>
    <xf numFmtId="0" fontId="17" fillId="5" borderId="19" xfId="0" applyFont="1" applyFill="1" applyBorder="1" applyAlignment="1">
      <alignment horizontal="center"/>
    </xf>
    <xf numFmtId="0" fontId="12" fillId="5" borderId="20" xfId="0" applyFont="1" applyFill="1" applyBorder="1" applyAlignment="1">
      <alignment horizontal="center"/>
    </xf>
    <xf numFmtId="0" fontId="16" fillId="5" borderId="0" xfId="0" applyFont="1" applyFill="1" applyAlignment="1">
      <alignment horizontal="left"/>
    </xf>
    <xf numFmtId="0" fontId="16" fillId="5" borderId="18" xfId="0" applyFont="1" applyFill="1" applyBorder="1" applyAlignment="1">
      <alignment horizontal="left"/>
    </xf>
    <xf numFmtId="0" fontId="12" fillId="5" borderId="21" xfId="0" applyFont="1" applyFill="1" applyBorder="1" applyAlignment="1">
      <alignment horizontal="center"/>
    </xf>
    <xf numFmtId="0" fontId="10" fillId="5" borderId="0" xfId="0" applyFont="1" applyFill="1"/>
    <xf numFmtId="0" fontId="12" fillId="5" borderId="0" xfId="18" applyFont="1" applyFill="1"/>
    <xf numFmtId="0" fontId="9" fillId="7" borderId="22" xfId="0" applyFont="1" applyFill="1" applyBorder="1" applyAlignment="1">
      <alignment horizontal="center" vertical="center"/>
    </xf>
    <xf numFmtId="0" fontId="11" fillId="5" borderId="20" xfId="0" applyFont="1" applyFill="1" applyBorder="1" applyAlignment="1">
      <alignment vertical="center"/>
    </xf>
    <xf numFmtId="0" fontId="12" fillId="5" borderId="19" xfId="0" applyFont="1" applyFill="1" applyBorder="1"/>
    <xf numFmtId="0" fontId="12" fillId="5" borderId="21" xfId="0" applyFont="1" applyFill="1" applyBorder="1"/>
    <xf numFmtId="0" fontId="15" fillId="5" borderId="16" xfId="0" applyFont="1" applyFill="1" applyBorder="1" applyAlignment="1">
      <alignment horizontal="left" vertical="center"/>
    </xf>
    <xf numFmtId="0" fontId="16" fillId="5" borderId="0" xfId="0" applyFont="1" applyFill="1"/>
    <xf numFmtId="0" fontId="13" fillId="5" borderId="19" xfId="0" applyFont="1" applyFill="1" applyBorder="1"/>
    <xf numFmtId="3" fontId="12" fillId="8" borderId="0" xfId="0" applyNumberFormat="1" applyFont="1" applyFill="1" applyAlignment="1">
      <alignment horizontal="right"/>
    </xf>
    <xf numFmtId="0" fontId="12" fillId="8" borderId="19" xfId="0" applyFont="1" applyFill="1" applyBorder="1"/>
    <xf numFmtId="194" fontId="12" fillId="8" borderId="0" xfId="0" applyNumberFormat="1" applyFont="1" applyFill="1" applyAlignment="1">
      <alignment horizontal="right"/>
    </xf>
    <xf numFmtId="194" fontId="13" fillId="8" borderId="0" xfId="0" applyNumberFormat="1" applyFont="1" applyFill="1" applyAlignment="1">
      <alignment horizontal="right"/>
    </xf>
    <xf numFmtId="0" fontId="13" fillId="8" borderId="19" xfId="0" applyFont="1" applyFill="1" applyBorder="1"/>
    <xf numFmtId="194" fontId="13" fillId="8" borderId="0" xfId="19" applyNumberFormat="1" applyFont="1" applyFill="1" applyBorder="1" applyAlignment="1">
      <alignment horizontal="right"/>
    </xf>
    <xf numFmtId="0" fontId="18" fillId="5" borderId="16" xfId="0" applyFont="1" applyFill="1" applyBorder="1"/>
    <xf numFmtId="2" fontId="13" fillId="8" borderId="0" xfId="0" applyNumberFormat="1" applyFont="1" applyFill="1" applyAlignment="1">
      <alignment horizontal="right"/>
    </xf>
    <xf numFmtId="0" fontId="13" fillId="5" borderId="23" xfId="0" applyFont="1" applyFill="1" applyBorder="1" applyAlignment="1">
      <alignment horizontal="left"/>
    </xf>
    <xf numFmtId="0" fontId="13" fillId="5" borderId="23" xfId="0" applyFont="1" applyFill="1" applyBorder="1"/>
    <xf numFmtId="0" fontId="13" fillId="5" borderId="17" xfId="0" applyFont="1" applyFill="1" applyBorder="1" applyAlignment="1">
      <alignment horizontal="center"/>
    </xf>
    <xf numFmtId="0" fontId="13" fillId="5" borderId="18" xfId="0" applyFont="1" applyFill="1" applyBorder="1" applyAlignment="1">
      <alignment horizontal="center"/>
    </xf>
    <xf numFmtId="0" fontId="13" fillId="8" borderId="18" xfId="0" applyFont="1" applyFill="1" applyBorder="1" applyAlignment="1">
      <alignment horizontal="center"/>
    </xf>
    <xf numFmtId="0" fontId="13" fillId="8" borderId="21" xfId="0" applyFont="1" applyFill="1" applyBorder="1" applyAlignment="1">
      <alignment horizontal="center"/>
    </xf>
    <xf numFmtId="0" fontId="14" fillId="5" borderId="0" xfId="0" applyFont="1" applyFill="1" applyAlignment="1">
      <alignment vertical="center"/>
    </xf>
    <xf numFmtId="0" fontId="12" fillId="8" borderId="0" xfId="0" applyFont="1" applyFill="1"/>
    <xf numFmtId="3" fontId="12" fillId="8" borderId="0" xfId="0" applyNumberFormat="1" applyFont="1" applyFill="1"/>
    <xf numFmtId="190" fontId="12" fillId="8" borderId="0" xfId="0" applyNumberFormat="1" applyFont="1" applyFill="1"/>
    <xf numFmtId="194" fontId="12" fillId="8" borderId="0" xfId="0" applyNumberFormat="1" applyFont="1" applyFill="1"/>
    <xf numFmtId="0" fontId="13" fillId="8" borderId="0" xfId="0" applyFont="1" applyFill="1" applyAlignment="1">
      <alignment horizontal="center"/>
    </xf>
    <xf numFmtId="0" fontId="10" fillId="5" borderId="15" xfId="0" applyFont="1" applyFill="1" applyBorder="1" applyAlignment="1">
      <alignment vertical="center"/>
    </xf>
    <xf numFmtId="0" fontId="12" fillId="5" borderId="15" xfId="0" applyFont="1" applyFill="1" applyBorder="1"/>
    <xf numFmtId="0" fontId="12" fillId="8" borderId="15" xfId="0" applyFont="1" applyFill="1" applyBorder="1"/>
    <xf numFmtId="0" fontId="12" fillId="8" borderId="20" xfId="0" applyFont="1" applyFill="1" applyBorder="1"/>
    <xf numFmtId="0" fontId="12" fillId="8" borderId="0" xfId="0" applyFont="1" applyFill="1" applyAlignment="1">
      <alignment horizontal="center"/>
    </xf>
    <xf numFmtId="0" fontId="12" fillId="8" borderId="0" xfId="3" applyFont="1" applyFill="1" applyAlignment="1">
      <alignment horizontal="center"/>
    </xf>
    <xf numFmtId="194" fontId="12" fillId="8" borderId="19" xfId="0" applyNumberFormat="1" applyFont="1" applyFill="1" applyBorder="1" applyAlignment="1">
      <alignment horizontal="center"/>
    </xf>
    <xf numFmtId="1" fontId="13" fillId="8" borderId="19" xfId="0" applyNumberFormat="1" applyFont="1" applyFill="1" applyBorder="1" applyAlignment="1">
      <alignment horizontal="center"/>
    </xf>
    <xf numFmtId="1" fontId="12" fillId="8" borderId="19" xfId="0" applyNumberFormat="1" applyFont="1" applyFill="1" applyBorder="1" applyAlignment="1">
      <alignment horizontal="center"/>
    </xf>
    <xf numFmtId="0" fontId="14" fillId="5" borderId="16" xfId="0" applyFont="1" applyFill="1" applyBorder="1"/>
    <xf numFmtId="0" fontId="12" fillId="8" borderId="19" xfId="0" applyFont="1" applyFill="1" applyBorder="1" applyAlignment="1">
      <alignment horizontal="center"/>
    </xf>
    <xf numFmtId="3" fontId="12" fillId="8" borderId="0" xfId="0" applyNumberFormat="1" applyFont="1" applyFill="1" applyAlignment="1">
      <alignment horizontal="center"/>
    </xf>
    <xf numFmtId="197" fontId="12" fillId="8" borderId="0" xfId="14" applyNumberFormat="1" applyFont="1" applyFill="1" applyBorder="1" applyAlignment="1">
      <alignment horizontal="center"/>
    </xf>
    <xf numFmtId="0" fontId="12" fillId="5" borderId="20" xfId="0" applyFont="1" applyFill="1" applyBorder="1"/>
    <xf numFmtId="0" fontId="12" fillId="5" borderId="18" xfId="18" applyFont="1" applyFill="1" applyBorder="1"/>
    <xf numFmtId="197" fontId="0" fillId="0" borderId="0" xfId="0" applyNumberFormat="1"/>
    <xf numFmtId="194" fontId="0" fillId="0" borderId="0" xfId="0" applyNumberFormat="1" applyAlignment="1">
      <alignment horizontal="center"/>
    </xf>
    <xf numFmtId="0" fontId="12" fillId="0" borderId="0" xfId="0" applyFont="1"/>
    <xf numFmtId="0" fontId="12" fillId="2" borderId="0" xfId="0" applyFont="1" applyFill="1"/>
    <xf numFmtId="0" fontId="16" fillId="5" borderId="15" xfId="0" applyFont="1" applyFill="1" applyBorder="1"/>
    <xf numFmtId="0" fontId="14" fillId="5" borderId="18" xfId="0" applyFont="1" applyFill="1" applyBorder="1" applyAlignment="1">
      <alignment horizontal="center"/>
    </xf>
    <xf numFmtId="0" fontId="14" fillId="2" borderId="0" xfId="0" applyFont="1" applyFill="1" applyAlignment="1">
      <alignment vertical="center"/>
    </xf>
    <xf numFmtId="3" fontId="12" fillId="5" borderId="0" xfId="0" applyNumberFormat="1" applyFont="1" applyFill="1" applyAlignment="1">
      <alignment horizontal="right"/>
    </xf>
    <xf numFmtId="194" fontId="12" fillId="5" borderId="0" xfId="0" applyNumberFormat="1" applyFont="1" applyFill="1" applyAlignment="1">
      <alignment horizontal="right"/>
    </xf>
    <xf numFmtId="194" fontId="13" fillId="5" borderId="0" xfId="0" applyNumberFormat="1" applyFont="1" applyFill="1" applyAlignment="1">
      <alignment horizontal="right"/>
    </xf>
    <xf numFmtId="194" fontId="13" fillId="5" borderId="0" xfId="19" applyNumberFormat="1" applyFont="1" applyFill="1" applyBorder="1" applyAlignment="1">
      <alignment horizontal="right"/>
    </xf>
    <xf numFmtId="2" fontId="13" fillId="5" borderId="0" xfId="0" applyNumberFormat="1" applyFont="1" applyFill="1" applyAlignment="1">
      <alignment horizontal="right"/>
    </xf>
    <xf numFmtId="0" fontId="13" fillId="5" borderId="18" xfId="0" applyFont="1" applyFill="1" applyBorder="1" applyAlignment="1">
      <alignment horizontal="right"/>
    </xf>
    <xf numFmtId="0" fontId="13" fillId="5" borderId="21" xfId="0" applyFont="1" applyFill="1" applyBorder="1" applyAlignment="1">
      <alignment horizontal="center"/>
    </xf>
    <xf numFmtId="194" fontId="12" fillId="5" borderId="0" xfId="0" applyNumberFormat="1" applyFont="1" applyFill="1"/>
    <xf numFmtId="0" fontId="13" fillId="5" borderId="17" xfId="0" applyFont="1" applyFill="1" applyBorder="1" applyAlignment="1">
      <alignment horizontal="left"/>
    </xf>
    <xf numFmtId="0" fontId="13" fillId="5" borderId="18" xfId="0" applyFont="1" applyFill="1" applyBorder="1" applyAlignment="1">
      <alignment horizontal="left"/>
    </xf>
    <xf numFmtId="0" fontId="13" fillId="5" borderId="21" xfId="0" applyFont="1" applyFill="1" applyBorder="1" applyAlignment="1">
      <alignment horizontal="left"/>
    </xf>
    <xf numFmtId="0" fontId="12" fillId="5" borderId="0" xfId="3" applyFont="1" applyFill="1" applyAlignment="1">
      <alignment horizontal="center"/>
    </xf>
    <xf numFmtId="194" fontId="13" fillId="5" borderId="19" xfId="0" applyNumberFormat="1" applyFont="1" applyFill="1" applyBorder="1" applyAlignment="1">
      <alignment horizontal="center"/>
    </xf>
    <xf numFmtId="1" fontId="12" fillId="5" borderId="19" xfId="0" applyNumberFormat="1" applyFont="1" applyFill="1" applyBorder="1" applyAlignment="1">
      <alignment horizontal="center"/>
    </xf>
    <xf numFmtId="0" fontId="14" fillId="0" borderId="0" xfId="0" applyFont="1" applyAlignment="1">
      <alignment vertical="center"/>
    </xf>
    <xf numFmtId="0" fontId="19" fillId="2" borderId="0" xfId="0" applyFont="1" applyFill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3" fillId="2" borderId="0" xfId="0" applyFont="1" applyFill="1"/>
    <xf numFmtId="0" fontId="16" fillId="0" borderId="0" xfId="0" applyFont="1"/>
    <xf numFmtId="1" fontId="12" fillId="2" borderId="0" xfId="0" applyNumberFormat="1" applyFont="1" applyFill="1" applyAlignment="1">
      <alignment horizontal="center"/>
    </xf>
    <xf numFmtId="3" fontId="12" fillId="2" borderId="0" xfId="0" applyNumberFormat="1" applyFont="1" applyFill="1" applyAlignment="1">
      <alignment horizontal="center"/>
    </xf>
    <xf numFmtId="3" fontId="12" fillId="0" borderId="0" xfId="0" applyNumberFormat="1" applyFont="1"/>
    <xf numFmtId="1" fontId="12" fillId="0" borderId="0" xfId="0" applyNumberFormat="1" applyFont="1"/>
    <xf numFmtId="197" fontId="2" fillId="4" borderId="6" xfId="42" applyNumberFormat="1" applyFont="1" applyFill="1" applyBorder="1" applyAlignment="1">
      <alignment horizontal="center" vertical="center"/>
    </xf>
    <xf numFmtId="197" fontId="8" fillId="2" borderId="0" xfId="42" applyNumberFormat="1" applyFont="1" applyFill="1" applyBorder="1" applyAlignment="1">
      <alignment vertical="center"/>
    </xf>
    <xf numFmtId="192" fontId="13" fillId="5" borderId="0" xfId="0" applyNumberFormat="1" applyFont="1" applyFill="1" applyAlignment="1">
      <alignment horizontal="left"/>
    </xf>
    <xf numFmtId="0" fontId="12" fillId="5" borderId="18" xfId="0" applyFont="1" applyFill="1" applyBorder="1" applyAlignment="1">
      <alignment horizontal="center" vertical="center"/>
    </xf>
    <xf numFmtId="1" fontId="13" fillId="5" borderId="19" xfId="0" applyNumberFormat="1" applyFont="1" applyFill="1" applyBorder="1" applyAlignment="1">
      <alignment horizontal="center"/>
    </xf>
    <xf numFmtId="190" fontId="12" fillId="5" borderId="0" xfId="0" applyNumberFormat="1" applyFont="1" applyFill="1" applyAlignment="1">
      <alignment horizontal="center"/>
    </xf>
    <xf numFmtId="0" fontId="3" fillId="0" borderId="0" xfId="0" applyFont="1"/>
    <xf numFmtId="194" fontId="0" fillId="0" borderId="0" xfId="0" applyNumberFormat="1"/>
    <xf numFmtId="17" fontId="13" fillId="5" borderId="0" xfId="0" applyNumberFormat="1" applyFont="1" applyFill="1" applyAlignment="1">
      <alignment horizontal="left"/>
    </xf>
    <xf numFmtId="197" fontId="12" fillId="5" borderId="0" xfId="14" applyNumberFormat="1" applyFont="1" applyFill="1" applyBorder="1" applyAlignment="1">
      <alignment horizontal="center"/>
    </xf>
    <xf numFmtId="190" fontId="12" fillId="5" borderId="0" xfId="0" applyNumberFormat="1" applyFont="1" applyFill="1"/>
    <xf numFmtId="187" fontId="13" fillId="2" borderId="0" xfId="19" applyNumberFormat="1" applyFont="1" applyFill="1" applyBorder="1" applyAlignment="1">
      <alignment horizontal="left"/>
    </xf>
    <xf numFmtId="185" fontId="8" fillId="2" borderId="0" xfId="42" applyNumberFormat="1" applyFont="1" applyFill="1" applyBorder="1" applyAlignment="1">
      <alignment vertical="center"/>
    </xf>
    <xf numFmtId="195" fontId="0" fillId="0" borderId="0" xfId="0" applyNumberFormat="1"/>
    <xf numFmtId="2" fontId="0" fillId="0" borderId="0" xfId="0" applyNumberFormat="1" applyAlignment="1">
      <alignment horizontal="center"/>
    </xf>
    <xf numFmtId="1" fontId="0" fillId="0" borderId="0" xfId="0" applyNumberFormat="1"/>
    <xf numFmtId="187" fontId="12" fillId="5" borderId="0" xfId="19" applyNumberFormat="1" applyFont="1" applyFill="1" applyBorder="1" applyAlignment="1">
      <alignment horizontal="center"/>
    </xf>
    <xf numFmtId="194" fontId="13" fillId="2" borderId="0" xfId="0" applyNumberFormat="1" applyFont="1" applyFill="1" applyAlignment="1">
      <alignment horizontal="left"/>
    </xf>
    <xf numFmtId="194" fontId="12" fillId="0" borderId="0" xfId="0" applyNumberFormat="1" applyFont="1" applyAlignment="1">
      <alignment horizontal="left"/>
    </xf>
    <xf numFmtId="2" fontId="0" fillId="0" borderId="0" xfId="0" applyNumberFormat="1"/>
    <xf numFmtId="0" fontId="20" fillId="0" borderId="0" xfId="0" applyFont="1"/>
    <xf numFmtId="190" fontId="12" fillId="5" borderId="0" xfId="0" applyNumberFormat="1" applyFont="1" applyFill="1" applyAlignment="1">
      <alignment horizontal="right"/>
    </xf>
    <xf numFmtId="194" fontId="12" fillId="0" borderId="0" xfId="0" applyNumberFormat="1" applyFont="1"/>
    <xf numFmtId="0" fontId="12" fillId="0" borderId="14" xfId="0" applyFont="1" applyBorder="1"/>
    <xf numFmtId="0" fontId="12" fillId="0" borderId="15" xfId="0" applyFont="1" applyBorder="1"/>
    <xf numFmtId="0" fontId="12" fillId="0" borderId="20" xfId="0" applyFont="1" applyBorder="1"/>
    <xf numFmtId="0" fontId="12" fillId="0" borderId="16" xfId="0" applyFont="1" applyBorder="1"/>
    <xf numFmtId="0" fontId="12" fillId="0" borderId="19" xfId="0" applyFont="1" applyBorder="1"/>
    <xf numFmtId="1" fontId="0" fillId="0" borderId="0" xfId="0" applyNumberFormat="1" applyAlignment="1">
      <alignment horizontal="center"/>
    </xf>
    <xf numFmtId="0" fontId="13" fillId="5" borderId="0" xfId="0" applyFont="1" applyFill="1" applyAlignment="1">
      <alignment vertical="center"/>
    </xf>
    <xf numFmtId="186" fontId="12" fillId="2" borderId="0" xfId="0" applyNumberFormat="1" applyFont="1" applyFill="1"/>
    <xf numFmtId="197" fontId="12" fillId="2" borderId="0" xfId="0" applyNumberFormat="1" applyFont="1" applyFill="1"/>
    <xf numFmtId="197" fontId="2" fillId="4" borderId="6" xfId="0" applyNumberFormat="1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7" fontId="0" fillId="0" borderId="0" xfId="0" applyNumberFormat="1"/>
    <xf numFmtId="189" fontId="2" fillId="4" borderId="6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vertical="center"/>
    </xf>
    <xf numFmtId="17" fontId="0" fillId="0" borderId="15" xfId="0" applyNumberFormat="1" applyBorder="1"/>
    <xf numFmtId="3" fontId="0" fillId="0" borderId="15" xfId="0" applyNumberFormat="1" applyBorder="1"/>
    <xf numFmtId="17" fontId="0" fillId="0" borderId="18" xfId="0" applyNumberFormat="1" applyBorder="1"/>
    <xf numFmtId="1" fontId="0" fillId="0" borderId="15" xfId="0" applyNumberFormat="1" applyBorder="1"/>
    <xf numFmtId="0" fontId="0" fillId="0" borderId="15" xfId="0" applyBorder="1"/>
    <xf numFmtId="1" fontId="0" fillId="0" borderId="18" xfId="0" applyNumberFormat="1" applyBorder="1"/>
    <xf numFmtId="0" fontId="0" fillId="0" borderId="18" xfId="0" applyBorder="1"/>
    <xf numFmtId="0" fontId="18" fillId="5" borderId="0" xfId="0" applyFont="1" applyFill="1" applyAlignment="1">
      <alignment horizontal="center"/>
    </xf>
    <xf numFmtId="0" fontId="10" fillId="5" borderId="14" xfId="1" applyFont="1" applyFill="1" applyBorder="1" applyAlignment="1">
      <alignment vertical="center"/>
    </xf>
    <xf numFmtId="3" fontId="12" fillId="8" borderId="19" xfId="0" applyNumberFormat="1" applyFont="1" applyFill="1" applyBorder="1" applyAlignment="1">
      <alignment horizontal="center"/>
    </xf>
    <xf numFmtId="0" fontId="13" fillId="8" borderId="0" xfId="0" applyFont="1" applyFill="1" applyAlignment="1">
      <alignment horizontal="left" vertical="center"/>
    </xf>
    <xf numFmtId="183" fontId="12" fillId="8" borderId="0" xfId="42" applyNumberFormat="1" applyFont="1" applyFill="1" applyBorder="1" applyAlignment="1">
      <alignment horizontal="right"/>
    </xf>
    <xf numFmtId="182" fontId="12" fillId="8" borderId="0" xfId="42" applyNumberFormat="1" applyFont="1" applyFill="1" applyAlignment="1">
      <alignment horizontal="right"/>
    </xf>
    <xf numFmtId="182" fontId="13" fillId="8" borderId="0" xfId="42" applyNumberFormat="1" applyFont="1" applyFill="1" applyBorder="1" applyAlignment="1">
      <alignment horizontal="right"/>
    </xf>
    <xf numFmtId="194" fontId="13" fillId="8" borderId="0" xfId="19" applyNumberFormat="1" applyFont="1" applyFill="1" applyBorder="1" applyAlignment="1">
      <alignment horizontal="center"/>
    </xf>
    <xf numFmtId="2" fontId="13" fillId="8" borderId="0" xfId="0" applyNumberFormat="1" applyFont="1" applyFill="1" applyAlignment="1">
      <alignment horizontal="center"/>
    </xf>
    <xf numFmtId="194" fontId="13" fillId="8" borderId="0" xfId="0" applyNumberFormat="1" applyFont="1" applyFill="1" applyAlignment="1">
      <alignment horizontal="center"/>
    </xf>
    <xf numFmtId="0" fontId="13" fillId="8" borderId="0" xfId="0" applyFont="1" applyFill="1" applyAlignment="1">
      <alignment horizontal="left"/>
    </xf>
    <xf numFmtId="181" fontId="13" fillId="5" borderId="0" xfId="0" applyNumberFormat="1" applyFont="1" applyFill="1" applyAlignment="1">
      <alignment horizontal="left"/>
    </xf>
    <xf numFmtId="192" fontId="13" fillId="5" borderId="0" xfId="0" applyNumberFormat="1" applyFont="1" applyFill="1" applyAlignment="1">
      <alignment horizontal="left" vertical="center"/>
    </xf>
    <xf numFmtId="0" fontId="21" fillId="0" borderId="0" xfId="0" applyFont="1"/>
    <xf numFmtId="0" fontId="22" fillId="0" borderId="0" xfId="0" applyFont="1"/>
    <xf numFmtId="0" fontId="2" fillId="0" borderId="0" xfId="0" applyFont="1" applyAlignment="1">
      <alignment wrapText="1"/>
    </xf>
    <xf numFmtId="191" fontId="0" fillId="0" borderId="0" xfId="0" applyNumberFormat="1"/>
    <xf numFmtId="191" fontId="0" fillId="0" borderId="18" xfId="0" applyNumberFormat="1" applyBorder="1"/>
    <xf numFmtId="194" fontId="0" fillId="0" borderId="18" xfId="0" applyNumberFormat="1" applyBorder="1"/>
    <xf numFmtId="2" fontId="0" fillId="0" borderId="24" xfId="0" applyNumberFormat="1" applyBorder="1" applyAlignment="1">
      <alignment horizontal="right"/>
    </xf>
    <xf numFmtId="0" fontId="12" fillId="0" borderId="0" xfId="0" applyFont="1" applyAlignment="1">
      <alignment wrapText="1"/>
    </xf>
    <xf numFmtId="0" fontId="12" fillId="0" borderId="18" xfId="0" applyFont="1" applyBorder="1" applyAlignment="1">
      <alignment wrapText="1"/>
    </xf>
    <xf numFmtId="3" fontId="0" fillId="0" borderId="0" xfId="0" applyNumberFormat="1"/>
    <xf numFmtId="3" fontId="0" fillId="0" borderId="18" xfId="0" applyNumberFormat="1" applyBorder="1"/>
    <xf numFmtId="0" fontId="4" fillId="9" borderId="25" xfId="0" applyFont="1" applyFill="1" applyBorder="1" applyAlignment="1">
      <alignment horizontal="left" vertical="top"/>
    </xf>
    <xf numFmtId="0" fontId="4" fillId="9" borderId="26" xfId="0" applyFont="1" applyFill="1" applyBorder="1" applyAlignment="1">
      <alignment horizontal="left" vertical="top"/>
    </xf>
    <xf numFmtId="0" fontId="23" fillId="2" borderId="27" xfId="0" applyFont="1" applyFill="1" applyBorder="1" applyAlignment="1">
      <alignment horizontal="center"/>
    </xf>
    <xf numFmtId="0" fontId="24" fillId="2" borderId="28" xfId="0" applyFont="1" applyFill="1" applyBorder="1" applyAlignment="1">
      <alignment horizontal="right" vertical="center" wrapText="1"/>
    </xf>
    <xf numFmtId="0" fontId="24" fillId="2" borderId="15" xfId="0" applyFont="1" applyFill="1" applyBorder="1" applyAlignment="1">
      <alignment horizontal="right" vertical="center" wrapText="1"/>
    </xf>
    <xf numFmtId="49" fontId="12" fillId="10" borderId="29" xfId="0" applyNumberFormat="1" applyFont="1" applyFill="1" applyBorder="1" applyAlignment="1">
      <alignment horizontal="center" vertical="center" wrapText="1"/>
    </xf>
    <xf numFmtId="2" fontId="0" fillId="0" borderId="18" xfId="0" applyNumberFormat="1" applyBorder="1"/>
    <xf numFmtId="0" fontId="2" fillId="0" borderId="18" xfId="0" applyFont="1" applyBorder="1" applyAlignment="1">
      <alignment horizontal="center" wrapText="1"/>
    </xf>
    <xf numFmtId="4" fontId="0" fillId="0" borderId="0" xfId="0" applyNumberFormat="1" applyAlignment="1">
      <alignment horizontal="right"/>
    </xf>
    <xf numFmtId="4" fontId="0" fillId="0" borderId="18" xfId="0" applyNumberFormat="1" applyBorder="1" applyAlignment="1">
      <alignment horizontal="right"/>
    </xf>
    <xf numFmtId="3" fontId="0" fillId="0" borderId="15" xfId="0" applyNumberFormat="1" applyBorder="1" applyAlignment="1">
      <alignment horizontal="center" vertical="center" wrapText="1"/>
    </xf>
    <xf numFmtId="0" fontId="0" fillId="0" borderId="0" xfId="7" applyNumberFormat="1" applyFont="1"/>
    <xf numFmtId="3" fontId="0" fillId="0" borderId="0" xfId="0" applyNumberFormat="1" applyAlignment="1">
      <alignment horizontal="center" vertical="center" wrapText="1"/>
    </xf>
    <xf numFmtId="3" fontId="0" fillId="0" borderId="18" xfId="0" applyNumberFormat="1" applyBorder="1" applyAlignment="1">
      <alignment horizontal="center" vertical="center" wrapText="1"/>
    </xf>
    <xf numFmtId="0" fontId="0" fillId="0" borderId="18" xfId="7" applyNumberFormat="1" applyFont="1" applyBorder="1"/>
    <xf numFmtId="187" fontId="0" fillId="0" borderId="0" xfId="7" applyNumberFormat="1" applyFont="1"/>
    <xf numFmtId="9" fontId="0" fillId="0" borderId="0" xfId="7" applyFont="1"/>
    <xf numFmtId="9" fontId="0" fillId="0" borderId="0" xfId="7" applyFont="1" applyAlignment="1"/>
    <xf numFmtId="0" fontId="23" fillId="2" borderId="30" xfId="0" applyFont="1" applyFill="1" applyBorder="1" applyAlignment="1">
      <alignment horizontal="center"/>
    </xf>
    <xf numFmtId="49" fontId="12" fillId="10" borderId="30" xfId="0" applyNumberFormat="1" applyFont="1" applyFill="1" applyBorder="1" applyAlignment="1">
      <alignment horizontal="center" vertical="center" wrapText="1"/>
    </xf>
    <xf numFmtId="1" fontId="0" fillId="0" borderId="0" xfId="7" applyNumberFormat="1" applyFont="1"/>
    <xf numFmtId="0" fontId="24" fillId="2" borderId="31" xfId="0" applyFont="1" applyFill="1" applyBorder="1" applyAlignment="1">
      <alignment horizontal="right" vertical="center" wrapText="1"/>
    </xf>
    <xf numFmtId="0" fontId="24" fillId="2" borderId="18" xfId="0" applyFont="1" applyFill="1" applyBorder="1" applyAlignment="1">
      <alignment horizontal="right" vertical="center" wrapText="1"/>
    </xf>
    <xf numFmtId="49" fontId="12" fillId="10" borderId="31" xfId="0" applyNumberFormat="1" applyFont="1" applyFill="1" applyBorder="1" applyAlignment="1">
      <alignment horizontal="center" vertical="center" wrapText="1"/>
    </xf>
    <xf numFmtId="0" fontId="24" fillId="2" borderId="32" xfId="0" applyFont="1" applyFill="1" applyBorder="1" applyAlignment="1">
      <alignment horizontal="right" vertical="center"/>
    </xf>
    <xf numFmtId="0" fontId="24" fillId="2" borderId="13" xfId="0" applyFont="1" applyFill="1" applyBorder="1" applyAlignment="1">
      <alignment horizontal="right" vertical="center"/>
    </xf>
    <xf numFmtId="49" fontId="12" fillId="10" borderId="32" xfId="0" applyNumberFormat="1" applyFont="1" applyFill="1" applyBorder="1" applyAlignment="1">
      <alignment horizontal="center" vertical="center" wrapText="1"/>
    </xf>
    <xf numFmtId="0" fontId="24" fillId="2" borderId="33" xfId="0" applyFont="1" applyFill="1" applyBorder="1" applyAlignment="1">
      <alignment horizontal="right"/>
    </xf>
    <xf numFmtId="0" fontId="25" fillId="2" borderId="12" xfId="0" applyFont="1" applyFill="1" applyBorder="1" applyAlignment="1">
      <alignment horizontal="center"/>
    </xf>
    <xf numFmtId="0" fontId="12" fillId="10" borderId="32" xfId="0" applyFont="1" applyFill="1" applyBorder="1" applyAlignment="1">
      <alignment horizontal="center" vertical="center"/>
    </xf>
    <xf numFmtId="14" fontId="12" fillId="10" borderId="32" xfId="0" applyNumberFormat="1" applyFont="1" applyFill="1" applyBorder="1" applyAlignment="1">
      <alignment horizontal="center" vertical="center"/>
    </xf>
    <xf numFmtId="0" fontId="24" fillId="2" borderId="34" xfId="0" applyFont="1" applyFill="1" applyBorder="1" applyAlignment="1">
      <alignment horizontal="right"/>
    </xf>
    <xf numFmtId="0" fontId="25" fillId="2" borderId="35" xfId="0" applyFont="1" applyFill="1" applyBorder="1" applyAlignment="1">
      <alignment horizontal="center"/>
    </xf>
    <xf numFmtId="0" fontId="12" fillId="10" borderId="36" xfId="0" applyFont="1" applyFill="1" applyBorder="1" applyAlignment="1">
      <alignment horizontal="center" vertical="center"/>
    </xf>
    <xf numFmtId="49" fontId="12" fillId="10" borderId="37" xfId="0" applyNumberFormat="1" applyFont="1" applyFill="1" applyBorder="1" applyAlignment="1">
      <alignment horizontal="center" vertical="center" wrapText="1"/>
    </xf>
    <xf numFmtId="49" fontId="12" fillId="10" borderId="38" xfId="0" applyNumberFormat="1" applyFont="1" applyFill="1" applyBorder="1" applyAlignment="1">
      <alignment horizontal="center" vertical="center" wrapText="1"/>
    </xf>
    <xf numFmtId="0" fontId="12" fillId="10" borderId="38" xfId="0" applyFont="1" applyFill="1" applyBorder="1" applyAlignment="1">
      <alignment horizontal="center" vertical="center"/>
    </xf>
    <xf numFmtId="0" fontId="12" fillId="10" borderId="39" xfId="0" applyFont="1" applyFill="1" applyBorder="1" applyAlignment="1">
      <alignment horizontal="center" vertical="center"/>
    </xf>
    <xf numFmtId="0" fontId="9" fillId="7" borderId="12" xfId="1" applyFont="1" applyFill="1" applyBorder="1" applyAlignment="1">
      <alignment horizontal="center" vertical="center"/>
    </xf>
    <xf numFmtId="0" fontId="9" fillId="7" borderId="13" xfId="1" applyFont="1" applyFill="1" applyBorder="1" applyAlignment="1">
      <alignment horizontal="center" vertical="center"/>
    </xf>
    <xf numFmtId="1" fontId="13" fillId="5" borderId="0" xfId="0" applyNumberFormat="1" applyFont="1" applyFill="1" applyAlignment="1">
      <alignment horizontal="center"/>
    </xf>
    <xf numFmtId="194" fontId="12" fillId="5" borderId="0" xfId="19" applyNumberFormat="1" applyFont="1" applyFill="1" applyBorder="1" applyAlignment="1">
      <alignment horizontal="center"/>
    </xf>
    <xf numFmtId="2" fontId="12" fillId="5" borderId="0" xfId="19" applyNumberFormat="1" applyFont="1" applyFill="1" applyBorder="1" applyAlignment="1">
      <alignment horizontal="center"/>
    </xf>
    <xf numFmtId="0" fontId="25" fillId="5" borderId="0" xfId="0" applyFont="1" applyFill="1" applyAlignment="1">
      <alignment horizontal="center"/>
    </xf>
    <xf numFmtId="0" fontId="14" fillId="5" borderId="19" xfId="0" applyFont="1" applyFill="1" applyBorder="1" applyAlignment="1">
      <alignment horizontal="center" wrapText="1"/>
    </xf>
    <xf numFmtId="0" fontId="9" fillId="7" borderId="22" xfId="1" applyFont="1" applyFill="1" applyBorder="1" applyAlignment="1">
      <alignment horizontal="center" vertical="center"/>
    </xf>
    <xf numFmtId="194" fontId="13" fillId="5" borderId="0" xfId="0" applyNumberFormat="1" applyFont="1" applyFill="1" applyAlignment="1">
      <alignment horizontal="center"/>
    </xf>
    <xf numFmtId="194" fontId="13" fillId="5" borderId="0" xfId="19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/>
    </xf>
    <xf numFmtId="15" fontId="12" fillId="5" borderId="0" xfId="0" applyNumberFormat="1" applyFont="1" applyFill="1" applyAlignment="1">
      <alignment horizontal="right"/>
    </xf>
    <xf numFmtId="15" fontId="13" fillId="5" borderId="19" xfId="0" applyNumberFormat="1" applyFont="1" applyFill="1" applyBorder="1" applyAlignment="1">
      <alignment horizontal="center"/>
    </xf>
    <xf numFmtId="194" fontId="12" fillId="5" borderId="18" xfId="19" applyNumberFormat="1" applyFont="1" applyFill="1" applyBorder="1" applyAlignment="1">
      <alignment horizontal="center"/>
    </xf>
    <xf numFmtId="0" fontId="0" fillId="0" borderId="0" xfId="5"/>
    <xf numFmtId="0" fontId="2" fillId="0" borderId="0" xfId="5" applyFont="1"/>
    <xf numFmtId="0" fontId="2" fillId="0" borderId="18" xfId="5" applyFont="1" applyBorder="1"/>
    <xf numFmtId="191" fontId="2" fillId="0" borderId="0" xfId="5" applyNumberFormat="1" applyFont="1"/>
    <xf numFmtId="194" fontId="2" fillId="0" borderId="0" xfId="5" applyNumberFormat="1" applyFont="1"/>
    <xf numFmtId="191" fontId="2" fillId="0" borderId="18" xfId="5" applyNumberFormat="1" applyFont="1" applyBorder="1"/>
    <xf numFmtId="194" fontId="2" fillId="0" borderId="18" xfId="5" applyNumberFormat="1" applyFont="1" applyBorder="1"/>
    <xf numFmtId="17" fontId="2" fillId="0" borderId="0" xfId="5" applyNumberFormat="1" applyFont="1"/>
    <xf numFmtId="0" fontId="0" fillId="0" borderId="40" xfId="5" applyBorder="1"/>
    <xf numFmtId="0" fontId="2" fillId="0" borderId="41" xfId="5" applyFont="1" applyBorder="1"/>
    <xf numFmtId="17" fontId="0" fillId="0" borderId="0" xfId="5" applyNumberFormat="1"/>
    <xf numFmtId="0" fontId="0" fillId="0" borderId="41" xfId="5" applyBorder="1"/>
    <xf numFmtId="0" fontId="2" fillId="0" borderId="40" xfId="5" applyFont="1" applyBorder="1" applyAlignment="1">
      <alignment horizontal="center" wrapText="1"/>
    </xf>
    <xf numFmtId="0" fontId="4" fillId="0" borderId="42" xfId="5" applyFont="1" applyBorder="1"/>
    <xf numFmtId="0" fontId="2" fillId="0" borderId="42" xfId="5" applyFont="1" applyBorder="1" applyAlignment="1">
      <alignment horizontal="center"/>
    </xf>
    <xf numFmtId="191" fontId="0" fillId="0" borderId="40" xfId="5" applyNumberFormat="1" applyBorder="1"/>
    <xf numFmtId="184" fontId="2" fillId="0" borderId="40" xfId="5" applyNumberFormat="1" applyFont="1" applyBorder="1" applyAlignment="1">
      <alignment horizontal="center"/>
    </xf>
    <xf numFmtId="191" fontId="0" fillId="0" borderId="43" xfId="5" applyNumberFormat="1" applyBorder="1"/>
    <xf numFmtId="184" fontId="2" fillId="0" borderId="43" xfId="5" applyNumberFormat="1" applyFont="1" applyBorder="1" applyAlignment="1">
      <alignment horizontal="center"/>
    </xf>
    <xf numFmtId="191" fontId="0" fillId="0" borderId="42" xfId="5" applyNumberFormat="1" applyBorder="1"/>
    <xf numFmtId="184" fontId="2" fillId="0" borderId="42" xfId="5" applyNumberFormat="1" applyFont="1" applyBorder="1" applyAlignment="1">
      <alignment horizontal="center"/>
    </xf>
    <xf numFmtId="0" fontId="0" fillId="0" borderId="44" xfId="5" applyBorder="1" applyAlignment="1">
      <alignment horizontal="center"/>
    </xf>
    <xf numFmtId="184" fontId="2" fillId="0" borderId="45" xfId="5" applyNumberFormat="1" applyFont="1" applyBorder="1" applyAlignment="1">
      <alignment horizontal="center"/>
    </xf>
    <xf numFmtId="0" fontId="2" fillId="0" borderId="0" xfId="5" applyFont="1" applyAlignment="1">
      <alignment wrapText="1"/>
    </xf>
    <xf numFmtId="0" fontId="2" fillId="0" borderId="18" xfId="5" applyFont="1" applyBorder="1" applyAlignment="1">
      <alignment wrapText="1"/>
    </xf>
    <xf numFmtId="3" fontId="2" fillId="0" borderId="0" xfId="5" applyNumberFormat="1" applyFont="1"/>
    <xf numFmtId="1" fontId="2" fillId="0" borderId="0" xfId="5" applyNumberFormat="1" applyFont="1"/>
    <xf numFmtId="17" fontId="2" fillId="0" borderId="18" xfId="5" applyNumberFormat="1" applyFont="1" applyBorder="1"/>
    <xf numFmtId="3" fontId="2" fillId="0" borderId="18" xfId="5" applyNumberFormat="1" applyFont="1" applyBorder="1"/>
    <xf numFmtId="1" fontId="2" fillId="0" borderId="18" xfId="5" applyNumberFormat="1" applyFont="1" applyBorder="1"/>
    <xf numFmtId="2" fontId="2" fillId="0" borderId="0" xfId="5" applyNumberFormat="1" applyFont="1"/>
    <xf numFmtId="2" fontId="2" fillId="0" borderId="18" xfId="5" applyNumberFormat="1" applyFont="1" applyBorder="1"/>
    <xf numFmtId="0" fontId="2" fillId="0" borderId="20" xfId="5" applyFont="1" applyBorder="1" applyAlignment="1">
      <alignment horizontal="center" wrapText="1"/>
    </xf>
    <xf numFmtId="0" fontId="2" fillId="0" borderId="21" xfId="5" applyFont="1" applyBorder="1" applyAlignment="1">
      <alignment horizontal="center"/>
    </xf>
    <xf numFmtId="184" fontId="26" fillId="0" borderId="46" xfId="5" applyNumberFormat="1" applyFont="1" applyBorder="1" applyAlignment="1">
      <alignment horizontal="center"/>
    </xf>
    <xf numFmtId="9" fontId="27" fillId="0" borderId="0" xfId="6" applyFont="1"/>
    <xf numFmtId="9" fontId="27" fillId="0" borderId="18" xfId="6" applyFont="1" applyBorder="1"/>
    <xf numFmtId="0" fontId="2" fillId="0" borderId="0" xfId="5" applyFont="1" applyAlignment="1">
      <alignment horizontal="center"/>
    </xf>
    <xf numFmtId="0" fontId="0" fillId="0" borderId="0" xfId="5" applyAlignment="1">
      <alignment wrapText="1"/>
    </xf>
    <xf numFmtId="0" fontId="4" fillId="11" borderId="0" xfId="5" applyFont="1" applyFill="1"/>
    <xf numFmtId="0" fontId="4" fillId="0" borderId="0" xfId="5" applyFont="1"/>
    <xf numFmtId="0" fontId="0" fillId="11" borderId="0" xfId="5" applyFill="1"/>
    <xf numFmtId="0" fontId="0" fillId="0" borderId="18" xfId="5" applyBorder="1"/>
    <xf numFmtId="0" fontId="0" fillId="0" borderId="18" xfId="5" applyBorder="1" applyAlignment="1">
      <alignment wrapText="1"/>
    </xf>
    <xf numFmtId="3" fontId="0" fillId="0" borderId="0" xfId="5" applyNumberFormat="1"/>
    <xf numFmtId="9" fontId="0" fillId="0" borderId="0" xfId="39" applyFont="1"/>
    <xf numFmtId="17" fontId="0" fillId="0" borderId="18" xfId="5" applyNumberFormat="1" applyBorder="1"/>
    <xf numFmtId="3" fontId="0" fillId="0" borderId="18" xfId="5" applyNumberFormat="1" applyBorder="1"/>
    <xf numFmtId="9" fontId="0" fillId="0" borderId="18" xfId="39" applyFont="1" applyBorder="1"/>
    <xf numFmtId="0" fontId="0" fillId="0" borderId="0" xfId="1"/>
    <xf numFmtId="0" fontId="11" fillId="5" borderId="15" xfId="1" applyFont="1" applyFill="1" applyBorder="1" applyAlignment="1">
      <alignment vertical="center"/>
    </xf>
    <xf numFmtId="0" fontId="12" fillId="5" borderId="15" xfId="1" applyFont="1" applyFill="1" applyBorder="1" applyAlignment="1">
      <alignment vertical="center"/>
    </xf>
    <xf numFmtId="0" fontId="13" fillId="5" borderId="16" xfId="1" applyFont="1" applyFill="1" applyBorder="1" applyAlignment="1">
      <alignment vertical="center"/>
    </xf>
    <xf numFmtId="196" fontId="13" fillId="5" borderId="0" xfId="1" applyNumberFormat="1" applyFont="1" applyFill="1" applyAlignment="1">
      <alignment vertical="center"/>
    </xf>
    <xf numFmtId="17" fontId="13" fillId="5" borderId="0" xfId="1" applyNumberFormat="1" applyFont="1" applyFill="1"/>
    <xf numFmtId="196" fontId="13" fillId="5" borderId="0" xfId="1" applyNumberFormat="1" applyFont="1" applyFill="1" applyAlignment="1">
      <alignment horizontal="left" vertical="center"/>
    </xf>
    <xf numFmtId="0" fontId="13" fillId="5" borderId="16" xfId="1" applyFont="1" applyFill="1" applyBorder="1"/>
    <xf numFmtId="49" fontId="13" fillId="5" borderId="0" xfId="1" applyNumberFormat="1" applyFont="1" applyFill="1" applyAlignment="1">
      <alignment horizontal="left" vertical="center"/>
    </xf>
    <xf numFmtId="0" fontId="13" fillId="5" borderId="0" xfId="1" applyFont="1" applyFill="1"/>
    <xf numFmtId="0" fontId="13" fillId="5" borderId="16" xfId="1" applyFont="1" applyFill="1" applyBorder="1" applyAlignment="1">
      <alignment wrapText="1"/>
    </xf>
    <xf numFmtId="0" fontId="13" fillId="5" borderId="17" xfId="1" applyFont="1" applyFill="1" applyBorder="1" applyAlignment="1">
      <alignment wrapText="1"/>
    </xf>
    <xf numFmtId="0" fontId="13" fillId="5" borderId="18" xfId="1" applyFont="1" applyFill="1" applyBorder="1"/>
    <xf numFmtId="0" fontId="10" fillId="5" borderId="16" xfId="1" applyFont="1" applyFill="1" applyBorder="1" applyAlignment="1">
      <alignment vertical="center"/>
    </xf>
    <xf numFmtId="0" fontId="12" fillId="5" borderId="0" xfId="1" applyFont="1" applyFill="1"/>
    <xf numFmtId="0" fontId="14" fillId="5" borderId="0" xfId="1" applyFont="1" applyFill="1"/>
    <xf numFmtId="0" fontId="12" fillId="5" borderId="16" xfId="1" applyFont="1" applyFill="1" applyBorder="1"/>
    <xf numFmtId="0" fontId="14" fillId="5" borderId="0" xfId="1" applyFont="1" applyFill="1" applyAlignment="1">
      <alignment horizontal="center"/>
    </xf>
    <xf numFmtId="0" fontId="13" fillId="5" borderId="0" xfId="1" applyFont="1" applyFill="1" applyAlignment="1">
      <alignment horizontal="center"/>
    </xf>
    <xf numFmtId="3" fontId="13" fillId="5" borderId="0" xfId="3" applyNumberFormat="1" applyFont="1" applyFill="1" applyAlignment="1">
      <alignment horizontal="center"/>
    </xf>
    <xf numFmtId="3" fontId="13" fillId="5" borderId="0" xfId="1" applyNumberFormat="1" applyFont="1" applyFill="1" applyAlignment="1">
      <alignment horizontal="center"/>
    </xf>
    <xf numFmtId="0" fontId="15" fillId="5" borderId="14" xfId="1" applyFont="1" applyFill="1" applyBorder="1"/>
    <xf numFmtId="0" fontId="13" fillId="5" borderId="15" xfId="1" applyFont="1" applyFill="1" applyBorder="1" applyAlignment="1">
      <alignment horizontal="center"/>
    </xf>
    <xf numFmtId="194" fontId="13" fillId="5" borderId="0" xfId="1" applyNumberFormat="1" applyFont="1" applyFill="1" applyAlignment="1">
      <alignment horizontal="center"/>
    </xf>
    <xf numFmtId="0" fontId="13" fillId="5" borderId="0" xfId="2" applyFont="1" applyFill="1"/>
    <xf numFmtId="1" fontId="13" fillId="5" borderId="0" xfId="1" applyNumberFormat="1" applyFont="1" applyFill="1" applyAlignment="1">
      <alignment horizontal="center"/>
    </xf>
    <xf numFmtId="2" fontId="13" fillId="5" borderId="0" xfId="1" applyNumberFormat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3" fillId="5" borderId="17" xfId="1" applyFont="1" applyFill="1" applyBorder="1" applyAlignment="1">
      <alignment vertical="center"/>
    </xf>
    <xf numFmtId="0" fontId="12" fillId="5" borderId="15" xfId="1" applyFont="1" applyFill="1" applyBorder="1" applyAlignment="1">
      <alignment horizontal="center"/>
    </xf>
    <xf numFmtId="3" fontId="12" fillId="5" borderId="16" xfId="1" applyNumberFormat="1" applyFont="1" applyFill="1" applyBorder="1" applyAlignment="1">
      <alignment horizontal="center"/>
    </xf>
    <xf numFmtId="3" fontId="13" fillId="5" borderId="16" xfId="1" applyNumberFormat="1" applyFont="1" applyFill="1" applyBorder="1" applyAlignment="1">
      <alignment horizontal="left"/>
    </xf>
    <xf numFmtId="1" fontId="12" fillId="5" borderId="16" xfId="1" applyNumberFormat="1" applyFont="1" applyFill="1" applyBorder="1" applyAlignment="1">
      <alignment horizontal="center"/>
    </xf>
    <xf numFmtId="1" fontId="12" fillId="5" borderId="0" xfId="1" applyNumberFormat="1" applyFont="1" applyFill="1" applyAlignment="1">
      <alignment horizontal="center"/>
    </xf>
    <xf numFmtId="0" fontId="18" fillId="5" borderId="0" xfId="1" applyFont="1" applyFill="1" applyAlignment="1">
      <alignment horizontal="center"/>
    </xf>
    <xf numFmtId="0" fontId="16" fillId="5" borderId="16" xfId="1" applyFont="1" applyFill="1" applyBorder="1"/>
    <xf numFmtId="3" fontId="12" fillId="5" borderId="18" xfId="1" applyNumberFormat="1" applyFont="1" applyFill="1" applyBorder="1" applyAlignment="1">
      <alignment horizontal="center"/>
    </xf>
    <xf numFmtId="0" fontId="10" fillId="5" borderId="16" xfId="1" applyFont="1" applyFill="1" applyBorder="1"/>
    <xf numFmtId="0" fontId="12" fillId="5" borderId="0" xfId="1" applyFont="1" applyFill="1" applyAlignment="1">
      <alignment horizontal="left"/>
    </xf>
    <xf numFmtId="3" fontId="12" fillId="5" borderId="0" xfId="1" applyNumberFormat="1" applyFont="1" applyFill="1"/>
    <xf numFmtId="3" fontId="13" fillId="5" borderId="0" xfId="1" applyNumberFormat="1" applyFont="1" applyFill="1" applyAlignment="1">
      <alignment horizontal="left"/>
    </xf>
    <xf numFmtId="3" fontId="28" fillId="5" borderId="0" xfId="1" applyNumberFormat="1" applyFont="1" applyFill="1" applyAlignment="1">
      <alignment horizontal="center"/>
    </xf>
    <xf numFmtId="0" fontId="12" fillId="5" borderId="17" xfId="1" applyFont="1" applyFill="1" applyBorder="1"/>
    <xf numFmtId="0" fontId="12" fillId="5" borderId="18" xfId="1" applyFont="1" applyFill="1" applyBorder="1"/>
    <xf numFmtId="0" fontId="14" fillId="5" borderId="19" xfId="1" applyFont="1" applyFill="1" applyBorder="1" applyAlignment="1">
      <alignment horizontal="center"/>
    </xf>
    <xf numFmtId="3" fontId="13" fillId="5" borderId="19" xfId="1" applyNumberFormat="1" applyFont="1" applyFill="1" applyBorder="1" applyAlignment="1">
      <alignment horizontal="center"/>
    </xf>
    <xf numFmtId="0" fontId="13" fillId="5" borderId="18" xfId="1" applyFont="1" applyFill="1" applyBorder="1" applyAlignment="1">
      <alignment horizontal="center"/>
    </xf>
    <xf numFmtId="0" fontId="13" fillId="5" borderId="21" xfId="1" applyFont="1" applyFill="1" applyBorder="1" applyAlignment="1">
      <alignment horizontal="center"/>
    </xf>
    <xf numFmtId="0" fontId="13" fillId="5" borderId="20" xfId="1" applyFont="1" applyFill="1" applyBorder="1" applyAlignment="1">
      <alignment horizontal="center"/>
    </xf>
    <xf numFmtId="0" fontId="13" fillId="5" borderId="19" xfId="1" applyFont="1" applyFill="1" applyBorder="1" applyAlignment="1">
      <alignment horizontal="center"/>
    </xf>
    <xf numFmtId="0" fontId="12" fillId="5" borderId="19" xfId="1" applyFont="1" applyFill="1" applyBorder="1" applyAlignment="1">
      <alignment horizontal="center"/>
    </xf>
    <xf numFmtId="0" fontId="16" fillId="5" borderId="0" xfId="1" applyFont="1" applyFill="1" applyAlignment="1">
      <alignment horizontal="left"/>
    </xf>
    <xf numFmtId="0" fontId="16" fillId="5" borderId="18" xfId="1" applyFont="1" applyFill="1" applyBorder="1" applyAlignment="1">
      <alignment horizontal="left"/>
    </xf>
    <xf numFmtId="0" fontId="12" fillId="5" borderId="18" xfId="1" applyFont="1" applyFill="1" applyBorder="1" applyAlignment="1">
      <alignment horizontal="center"/>
    </xf>
    <xf numFmtId="0" fontId="12" fillId="5" borderId="21" xfId="1" applyFont="1" applyFill="1" applyBorder="1" applyAlignment="1">
      <alignment horizontal="center"/>
    </xf>
    <xf numFmtId="0" fontId="10" fillId="5" borderId="0" xfId="1" applyFont="1" applyFill="1"/>
    <xf numFmtId="0" fontId="12" fillId="5" borderId="0" xfId="5" applyFont="1" applyFill="1"/>
    <xf numFmtId="0" fontId="11" fillId="5" borderId="20" xfId="1" applyFont="1" applyFill="1" applyBorder="1" applyAlignment="1">
      <alignment vertical="center"/>
    </xf>
    <xf numFmtId="0" fontId="12" fillId="5" borderId="19" xfId="1" applyFont="1" applyFill="1" applyBorder="1"/>
    <xf numFmtId="0" fontId="12" fillId="5" borderId="21" xfId="1" applyFont="1" applyFill="1" applyBorder="1"/>
    <xf numFmtId="0" fontId="15" fillId="5" borderId="16" xfId="1" applyFont="1" applyFill="1" applyBorder="1" applyAlignment="1">
      <alignment horizontal="left" vertical="center"/>
    </xf>
    <xf numFmtId="0" fontId="16" fillId="5" borderId="0" xfId="1" applyFont="1" applyFill="1"/>
    <xf numFmtId="0" fontId="13" fillId="5" borderId="19" xfId="1" applyFont="1" applyFill="1" applyBorder="1"/>
    <xf numFmtId="3" fontId="13" fillId="5" borderId="0" xfId="1" applyNumberFormat="1" applyFont="1" applyFill="1"/>
    <xf numFmtId="1" fontId="13" fillId="5" borderId="0" xfId="1" applyNumberFormat="1" applyFont="1" applyFill="1"/>
    <xf numFmtId="194" fontId="13" fillId="5" borderId="0" xfId="6" applyNumberFormat="1" applyFont="1" applyFill="1" applyBorder="1"/>
    <xf numFmtId="0" fontId="18" fillId="5" borderId="0" xfId="1" applyFont="1" applyFill="1"/>
    <xf numFmtId="0" fontId="13" fillId="5" borderId="0" xfId="1" applyFont="1" applyFill="1" applyAlignment="1">
      <alignment horizontal="left"/>
    </xf>
    <xf numFmtId="0" fontId="14" fillId="5" borderId="0" xfId="1" applyFont="1" applyFill="1" applyAlignment="1">
      <alignment vertical="center"/>
    </xf>
    <xf numFmtId="190" fontId="13" fillId="5" borderId="0" xfId="1" applyNumberFormat="1" applyFont="1" applyFill="1"/>
    <xf numFmtId="0" fontId="13" fillId="5" borderId="17" xfId="1" applyFont="1" applyFill="1" applyBorder="1" applyAlignment="1">
      <alignment horizontal="center"/>
    </xf>
    <xf numFmtId="0" fontId="10" fillId="5" borderId="15" xfId="1" applyFont="1" applyFill="1" applyBorder="1" applyAlignment="1">
      <alignment vertical="center"/>
    </xf>
    <xf numFmtId="0" fontId="12" fillId="5" borderId="15" xfId="1" applyFont="1" applyFill="1" applyBorder="1"/>
    <xf numFmtId="0" fontId="12" fillId="5" borderId="20" xfId="1" applyFont="1" applyFill="1" applyBorder="1"/>
    <xf numFmtId="0" fontId="18" fillId="5" borderId="16" xfId="1" applyFont="1" applyFill="1" applyBorder="1"/>
    <xf numFmtId="0" fontId="13" fillId="5" borderId="0" xfId="2" applyFont="1" applyFill="1" applyAlignment="1">
      <alignment horizontal="center"/>
    </xf>
    <xf numFmtId="194" fontId="13" fillId="5" borderId="19" xfId="1" applyNumberFormat="1" applyFont="1" applyFill="1" applyBorder="1" applyAlignment="1">
      <alignment horizontal="center"/>
    </xf>
    <xf numFmtId="0" fontId="14" fillId="5" borderId="16" xfId="1" applyFont="1" applyFill="1" applyBorder="1"/>
    <xf numFmtId="1" fontId="13" fillId="5" borderId="19" xfId="1" applyNumberFormat="1" applyFont="1" applyFill="1" applyBorder="1" applyAlignment="1">
      <alignment horizontal="center"/>
    </xf>
    <xf numFmtId="3" fontId="28" fillId="5" borderId="18" xfId="1" applyNumberFormat="1" applyFont="1" applyFill="1" applyBorder="1" applyAlignment="1">
      <alignment horizontal="center"/>
    </xf>
    <xf numFmtId="0" fontId="12" fillId="5" borderId="18" xfId="5" applyFont="1" applyFill="1" applyBorder="1"/>
    <xf numFmtId="0" fontId="2" fillId="0" borderId="40" xfId="5" applyFont="1" applyBorder="1"/>
    <xf numFmtId="0" fontId="29" fillId="0" borderId="42" xfId="5" applyFont="1" applyBorder="1"/>
    <xf numFmtId="191" fontId="2" fillId="0" borderId="40" xfId="5" applyNumberFormat="1" applyFont="1" applyBorder="1"/>
    <xf numFmtId="191" fontId="2" fillId="0" borderId="43" xfId="5" applyNumberFormat="1" applyFont="1" applyBorder="1"/>
    <xf numFmtId="191" fontId="2" fillId="0" borderId="42" xfId="5" applyNumberFormat="1" applyFont="1" applyBorder="1"/>
    <xf numFmtId="0" fontId="2" fillId="0" borderId="44" xfId="5" applyFont="1" applyBorder="1" applyAlignment="1">
      <alignment horizontal="center"/>
    </xf>
    <xf numFmtId="184" fontId="2" fillId="0" borderId="46" xfId="5" applyNumberFormat="1" applyFont="1" applyBorder="1" applyAlignment="1">
      <alignment horizontal="center"/>
    </xf>
    <xf numFmtId="0" fontId="27" fillId="0" borderId="0" xfId="6" applyNumberFormat="1" applyFont="1"/>
    <xf numFmtId="194" fontId="27" fillId="0" borderId="0" xfId="6" applyNumberFormat="1" applyFont="1"/>
    <xf numFmtId="0" fontId="27" fillId="0" borderId="18" xfId="6" applyNumberFormat="1" applyFont="1" applyBorder="1"/>
    <xf numFmtId="194" fontId="27" fillId="0" borderId="18" xfId="6" applyNumberFormat="1" applyFont="1" applyBorder="1"/>
    <xf numFmtId="0" fontId="0" fillId="0" borderId="0" xfId="5" applyAlignment="1">
      <alignment horizontal="center"/>
    </xf>
    <xf numFmtId="0" fontId="30" fillId="0" borderId="0" xfId="5" applyFont="1"/>
    <xf numFmtId="0" fontId="3" fillId="0" borderId="0" xfId="5" applyFont="1"/>
    <xf numFmtId="0" fontId="11" fillId="5" borderId="15" xfId="1" applyFont="1" applyFill="1" applyBorder="1" applyAlignment="1">
      <alignment horizontal="center"/>
    </xf>
    <xf numFmtId="0" fontId="16" fillId="5" borderId="15" xfId="1" applyFont="1" applyFill="1" applyBorder="1"/>
    <xf numFmtId="0" fontId="0" fillId="0" borderId="0" xfId="1" applyFont="1"/>
    <xf numFmtId="2" fontId="12" fillId="5" borderId="0" xfId="1" applyNumberFormat="1" applyFont="1" applyFill="1" applyAlignment="1">
      <alignment horizontal="center"/>
    </xf>
    <xf numFmtId="0" fontId="12" fillId="5" borderId="20" xfId="1" applyFont="1" applyFill="1" applyBorder="1" applyAlignment="1">
      <alignment horizontal="center"/>
    </xf>
    <xf numFmtId="3" fontId="12" fillId="5" borderId="0" xfId="1" applyNumberFormat="1" applyFont="1" applyFill="1" applyAlignment="1">
      <alignment horizontal="center"/>
    </xf>
    <xf numFmtId="3" fontId="12" fillId="5" borderId="19" xfId="1" applyNumberFormat="1" applyFont="1" applyFill="1" applyBorder="1" applyAlignment="1">
      <alignment horizontal="center"/>
    </xf>
    <xf numFmtId="0" fontId="12" fillId="5" borderId="0" xfId="2" applyFont="1" applyFill="1" applyAlignment="1">
      <alignment horizontal="center"/>
    </xf>
    <xf numFmtId="15" fontId="13" fillId="5" borderId="19" xfId="1" applyNumberFormat="1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wrapText="1"/>
    </xf>
    <xf numFmtId="0" fontId="0" fillId="0" borderId="18" xfId="0" applyFont="1" applyBorder="1"/>
    <xf numFmtId="191" fontId="0" fillId="0" borderId="0" xfId="0" applyNumberFormat="1" applyFont="1"/>
    <xf numFmtId="194" fontId="0" fillId="0" borderId="0" xfId="0" applyNumberFormat="1" applyFont="1"/>
    <xf numFmtId="191" fontId="0" fillId="0" borderId="18" xfId="0" applyNumberFormat="1" applyFont="1" applyBorder="1"/>
    <xf numFmtId="194" fontId="0" fillId="0" borderId="18" xfId="0" applyNumberFormat="1" applyFont="1" applyBorder="1"/>
    <xf numFmtId="2" fontId="0" fillId="0" borderId="0" xfId="0" applyNumberFormat="1" applyFont="1"/>
    <xf numFmtId="3" fontId="0" fillId="0" borderId="0" xfId="0" applyNumberFormat="1" applyFont="1"/>
    <xf numFmtId="3" fontId="0" fillId="0" borderId="18" xfId="0" applyNumberFormat="1" applyFont="1" applyBorder="1"/>
    <xf numFmtId="0" fontId="24" fillId="2" borderId="20" xfId="0" applyFont="1" applyFill="1" applyBorder="1" applyAlignment="1">
      <alignment horizontal="right" vertical="center" wrapText="1"/>
    </xf>
    <xf numFmtId="0" fontId="24" fillId="2" borderId="21" xfId="0" applyFont="1" applyFill="1" applyBorder="1" applyAlignment="1">
      <alignment horizontal="right" vertical="center" wrapText="1"/>
    </xf>
    <xf numFmtId="0" fontId="24" fillId="2" borderId="22" xfId="0" applyFont="1" applyFill="1" applyBorder="1" applyAlignment="1">
      <alignment horizontal="right" vertical="center"/>
    </xf>
    <xf numFmtId="2" fontId="0" fillId="0" borderId="18" xfId="0" applyNumberFormat="1" applyFont="1" applyBorder="1"/>
    <xf numFmtId="4" fontId="0" fillId="0" borderId="0" xfId="0" applyNumberFormat="1" applyFont="1" applyAlignment="1">
      <alignment horizontal="right"/>
    </xf>
    <xf numFmtId="9" fontId="0" fillId="0" borderId="15" xfId="39" applyFont="1" applyBorder="1" applyAlignment="1">
      <alignment vertical="center" wrapText="1"/>
    </xf>
    <xf numFmtId="9" fontId="0" fillId="0" borderId="0" xfId="39" applyFont="1" applyAlignment="1">
      <alignment vertical="center" wrapText="1"/>
    </xf>
    <xf numFmtId="9" fontId="0" fillId="0" borderId="18" xfId="39" applyFont="1" applyBorder="1" applyAlignment="1">
      <alignment vertical="center" wrapText="1"/>
    </xf>
    <xf numFmtId="0" fontId="23" fillId="9" borderId="47" xfId="0" applyFont="1" applyFill="1" applyBorder="1" applyAlignment="1">
      <alignment horizontal="center"/>
    </xf>
    <xf numFmtId="0" fontId="23" fillId="9" borderId="26" xfId="0" applyFont="1" applyFill="1" applyBorder="1" applyAlignment="1">
      <alignment horizontal="center"/>
    </xf>
    <xf numFmtId="49" fontId="12" fillId="10" borderId="15" xfId="0" applyNumberFormat="1" applyFont="1" applyFill="1" applyBorder="1" applyAlignment="1">
      <alignment horizontal="left" vertical="center" wrapText="1" indent="1"/>
    </xf>
    <xf numFmtId="49" fontId="12" fillId="10" borderId="20" xfId="0" applyNumberFormat="1" applyFont="1" applyFill="1" applyBorder="1" applyAlignment="1">
      <alignment horizontal="left" vertical="center" wrapText="1" indent="1"/>
    </xf>
    <xf numFmtId="49" fontId="12" fillId="10" borderId="14" xfId="0" applyNumberFormat="1" applyFont="1" applyFill="1" applyBorder="1" applyAlignment="1">
      <alignment horizontal="left" vertical="center" wrapText="1" indent="1"/>
    </xf>
    <xf numFmtId="49" fontId="12" fillId="10" borderId="18" xfId="0" applyNumberFormat="1" applyFont="1" applyFill="1" applyBorder="1" applyAlignment="1">
      <alignment horizontal="left" vertical="center" wrapText="1" indent="1"/>
    </xf>
    <xf numFmtId="49" fontId="12" fillId="10" borderId="21" xfId="0" applyNumberFormat="1" applyFont="1" applyFill="1" applyBorder="1" applyAlignment="1">
      <alignment horizontal="left" vertical="center" wrapText="1" indent="1"/>
    </xf>
    <xf numFmtId="0" fontId="0" fillId="10" borderId="17" xfId="0" applyFill="1" applyBorder="1" applyAlignment="1">
      <alignment horizontal="left" vertical="center" wrapText="1" indent="1"/>
    </xf>
    <xf numFmtId="0" fontId="0" fillId="10" borderId="21" xfId="0" applyFill="1" applyBorder="1" applyAlignment="1">
      <alignment horizontal="left" vertical="center" wrapText="1" indent="1"/>
    </xf>
    <xf numFmtId="49" fontId="12" fillId="10" borderId="12" xfId="0" applyNumberFormat="1" applyFont="1" applyFill="1" applyBorder="1" applyAlignment="1">
      <alignment horizontal="left" vertical="center" wrapText="1" indent="1"/>
    </xf>
    <xf numFmtId="49" fontId="12" fillId="10" borderId="22" xfId="0" applyNumberFormat="1" applyFont="1" applyFill="1" applyBorder="1" applyAlignment="1">
      <alignment horizontal="left" vertical="center" wrapText="1" indent="1"/>
    </xf>
    <xf numFmtId="1" fontId="0" fillId="0" borderId="0" xfId="0" applyNumberFormat="1" applyFont="1"/>
    <xf numFmtId="1" fontId="0" fillId="0" borderId="18" xfId="0" applyNumberFormat="1" applyFont="1" applyBorder="1"/>
    <xf numFmtId="0" fontId="25" fillId="2" borderId="41" xfId="0" applyFont="1" applyFill="1" applyBorder="1" applyAlignment="1">
      <alignment horizontal="center"/>
    </xf>
    <xf numFmtId="0" fontId="25" fillId="2" borderId="48" xfId="0" applyFont="1" applyFill="1" applyBorder="1" applyAlignment="1">
      <alignment horizontal="center"/>
    </xf>
    <xf numFmtId="0" fontId="12" fillId="10" borderId="12" xfId="0" applyFont="1" applyFill="1" applyBorder="1" applyAlignment="1">
      <alignment horizontal="left" vertical="center" indent="1"/>
    </xf>
    <xf numFmtId="0" fontId="12" fillId="10" borderId="22" xfId="0" applyFont="1" applyFill="1" applyBorder="1" applyAlignment="1">
      <alignment horizontal="left" vertical="center" indent="1"/>
    </xf>
    <xf numFmtId="0" fontId="12" fillId="10" borderId="12" xfId="0" applyFont="1" applyFill="1" applyBorder="1" applyAlignment="1">
      <alignment horizontal="left" vertical="center" wrapText="1" indent="1"/>
    </xf>
    <xf numFmtId="0" fontId="12" fillId="10" borderId="22" xfId="0" applyFont="1" applyFill="1" applyBorder="1" applyAlignment="1">
      <alignment horizontal="left" vertical="center" wrapText="1" indent="1"/>
    </xf>
    <xf numFmtId="17" fontId="12" fillId="10" borderId="12" xfId="0" applyNumberFormat="1" applyFont="1" applyFill="1" applyBorder="1" applyAlignment="1">
      <alignment horizontal="left" vertical="center" indent="1"/>
    </xf>
    <xf numFmtId="17" fontId="12" fillId="10" borderId="12" xfId="0" applyNumberFormat="1" applyFont="1" applyFill="1" applyBorder="1" applyAlignment="1">
      <alignment horizontal="left" vertical="center" wrapText="1" indent="1"/>
    </xf>
    <xf numFmtId="0" fontId="12" fillId="10" borderId="49" xfId="0" applyFont="1" applyFill="1" applyBorder="1" applyAlignment="1">
      <alignment horizontal="left" vertical="center" indent="1"/>
    </xf>
    <xf numFmtId="0" fontId="12" fillId="10" borderId="50" xfId="0" applyFont="1" applyFill="1" applyBorder="1" applyAlignment="1">
      <alignment horizontal="left" vertical="center" indent="1"/>
    </xf>
    <xf numFmtId="0" fontId="12" fillId="10" borderId="49" xfId="0" applyFont="1" applyFill="1" applyBorder="1" applyAlignment="1">
      <alignment horizontal="left" vertical="center" wrapText="1" indent="1"/>
    </xf>
    <xf numFmtId="0" fontId="12" fillId="10" borderId="50" xfId="0" applyFont="1" applyFill="1" applyBorder="1" applyAlignment="1">
      <alignment horizontal="left" vertical="center" wrapText="1" indent="1"/>
    </xf>
    <xf numFmtId="0" fontId="12" fillId="0" borderId="0" xfId="18" applyFont="1"/>
    <xf numFmtId="0" fontId="10" fillId="5" borderId="51" xfId="0" applyFont="1" applyFill="1" applyBorder="1" applyAlignment="1">
      <alignment vertical="center"/>
    </xf>
    <xf numFmtId="0" fontId="13" fillId="5" borderId="23" xfId="0" applyFont="1" applyFill="1" applyBorder="1" applyAlignment="1">
      <alignment vertical="center"/>
    </xf>
    <xf numFmtId="0" fontId="13" fillId="5" borderId="52" xfId="0" applyFont="1" applyFill="1" applyBorder="1"/>
    <xf numFmtId="0" fontId="14" fillId="5" borderId="53" xfId="0" applyFont="1" applyFill="1" applyBorder="1" applyAlignment="1">
      <alignment horizontal="center"/>
    </xf>
    <xf numFmtId="0" fontId="12" fillId="5" borderId="23" xfId="0" applyFont="1" applyFill="1" applyBorder="1"/>
    <xf numFmtId="3" fontId="13" fillId="5" borderId="0" xfId="18" applyNumberFormat="1" applyFont="1" applyFill="1" applyAlignment="1">
      <alignment horizontal="center"/>
    </xf>
    <xf numFmtId="0" fontId="11" fillId="5" borderId="54" xfId="0" applyFont="1" applyFill="1" applyBorder="1"/>
    <xf numFmtId="0" fontId="11" fillId="5" borderId="18" xfId="0" applyFont="1" applyFill="1" applyBorder="1"/>
    <xf numFmtId="0" fontId="15" fillId="5" borderId="23" xfId="0" applyFont="1" applyFill="1" applyBorder="1"/>
    <xf numFmtId="0" fontId="13" fillId="5" borderId="23" xfId="3" applyFont="1" applyFill="1" applyBorder="1"/>
    <xf numFmtId="0" fontId="16" fillId="5" borderId="54" xfId="0" applyFont="1" applyFill="1" applyBorder="1"/>
    <xf numFmtId="0" fontId="16" fillId="5" borderId="18" xfId="0" applyFont="1" applyFill="1" applyBorder="1"/>
    <xf numFmtId="0" fontId="10" fillId="5" borderId="23" xfId="0" applyFont="1" applyFill="1" applyBorder="1" applyAlignment="1">
      <alignment vertical="center"/>
    </xf>
    <xf numFmtId="0" fontId="13" fillId="5" borderId="54" xfId="0" applyFont="1" applyFill="1" applyBorder="1" applyAlignment="1">
      <alignment vertical="center"/>
    </xf>
    <xf numFmtId="0" fontId="10" fillId="5" borderId="23" xfId="0" applyFont="1" applyFill="1" applyBorder="1"/>
    <xf numFmtId="194" fontId="12" fillId="5" borderId="0" xfId="19" applyNumberFormat="1" applyFont="1" applyFill="1" applyBorder="1"/>
    <xf numFmtId="0" fontId="12" fillId="5" borderId="55" xfId="0" applyFont="1" applyFill="1" applyBorder="1"/>
    <xf numFmtId="180" fontId="0" fillId="0" borderId="56" xfId="0" applyNumberFormat="1" applyBorder="1" applyAlignment="1">
      <alignment horizontal="right"/>
    </xf>
    <xf numFmtId="14" fontId="0" fillId="0" borderId="57" xfId="0" applyNumberFormat="1" applyBorder="1"/>
    <xf numFmtId="0" fontId="0" fillId="0" borderId="57" xfId="0" applyBorder="1"/>
    <xf numFmtId="196" fontId="13" fillId="5" borderId="0" xfId="0" applyNumberFormat="1" applyFont="1" applyFill="1"/>
    <xf numFmtId="0" fontId="14" fillId="5" borderId="0" xfId="18" applyFont="1" applyFill="1" applyAlignment="1">
      <alignment horizontal="center"/>
    </xf>
    <xf numFmtId="0" fontId="31" fillId="5" borderId="0" xfId="0" applyFont="1" applyFill="1" applyAlignment="1">
      <alignment horizontal="center"/>
    </xf>
    <xf numFmtId="0" fontId="14" fillId="5" borderId="19" xfId="18" applyFont="1" applyFill="1" applyBorder="1" applyAlignment="1">
      <alignment horizontal="center"/>
    </xf>
    <xf numFmtId="3" fontId="12" fillId="5" borderId="0" xfId="18" applyNumberFormat="1" applyFont="1" applyFill="1" applyAlignment="1">
      <alignment horizontal="center"/>
    </xf>
    <xf numFmtId="0" fontId="13" fillId="5" borderId="0" xfId="18" applyFont="1" applyFill="1" applyAlignment="1">
      <alignment horizontal="center"/>
    </xf>
    <xf numFmtId="0" fontId="12" fillId="5" borderId="58" xfId="0" applyFont="1" applyFill="1" applyBorder="1" applyAlignment="1">
      <alignment horizontal="center"/>
    </xf>
    <xf numFmtId="0" fontId="12" fillId="5" borderId="59" xfId="0" applyFont="1" applyFill="1" applyBorder="1" applyAlignment="1">
      <alignment horizontal="center"/>
    </xf>
    <xf numFmtId="0" fontId="32" fillId="5" borderId="0" xfId="0" applyFont="1" applyFill="1"/>
    <xf numFmtId="1" fontId="12" fillId="0" borderId="0" xfId="18" applyNumberFormat="1" applyFont="1"/>
    <xf numFmtId="0" fontId="10" fillId="5" borderId="14" xfId="0" applyFont="1" applyFill="1" applyBorder="1" applyAlignment="1">
      <alignment horizontal="left" vertical="center"/>
    </xf>
    <xf numFmtId="190" fontId="13" fillId="5" borderId="0" xfId="0" applyNumberFormat="1" applyFont="1" applyFill="1" applyAlignment="1">
      <alignment horizontal="right"/>
    </xf>
    <xf numFmtId="0" fontId="18" fillId="5" borderId="0" xfId="0" applyFont="1" applyFill="1"/>
    <xf numFmtId="0" fontId="13" fillId="5" borderId="0" xfId="0" applyFont="1" applyFill="1" applyAlignment="1">
      <alignment horizontal="right"/>
    </xf>
    <xf numFmtId="0" fontId="12" fillId="5" borderId="18" xfId="0" applyFont="1" applyFill="1" applyBorder="1" applyAlignment="1">
      <alignment horizontal="right"/>
    </xf>
    <xf numFmtId="0" fontId="12" fillId="5" borderId="0" xfId="0" applyFont="1" applyFill="1" applyAlignment="1">
      <alignment horizontal="right"/>
    </xf>
    <xf numFmtId="15" fontId="12" fillId="5" borderId="0" xfId="0" applyNumberFormat="1" applyFont="1" applyFill="1" applyAlignment="1">
      <alignment horizontal="center"/>
    </xf>
    <xf numFmtId="0" fontId="12" fillId="5" borderId="0" xfId="0" applyFont="1" applyFill="1" applyAlignment="1">
      <alignment horizontal="right" indent="1"/>
    </xf>
    <xf numFmtId="1" fontId="12" fillId="5" borderId="0" xfId="19" applyNumberFormat="1" applyFont="1" applyFill="1" applyBorder="1"/>
    <xf numFmtId="0" fontId="12" fillId="0" borderId="23" xfId="0" applyFont="1" applyBorder="1"/>
    <xf numFmtId="0" fontId="0" fillId="0" borderId="23" xfId="0" applyBorder="1"/>
    <xf numFmtId="193" fontId="0" fillId="0" borderId="56" xfId="0" applyNumberFormat="1" applyBorder="1"/>
    <xf numFmtId="0" fontId="2" fillId="0" borderId="0" xfId="0" applyFont="1"/>
    <xf numFmtId="0" fontId="2" fillId="0" borderId="18" xfId="0" applyFont="1" applyBorder="1"/>
    <xf numFmtId="191" fontId="2" fillId="0" borderId="0" xfId="0" applyNumberFormat="1" applyFont="1"/>
    <xf numFmtId="194" fontId="2" fillId="0" borderId="0" xfId="0" applyNumberFormat="1" applyFont="1"/>
    <xf numFmtId="191" fontId="2" fillId="0" borderId="18" xfId="0" applyNumberFormat="1" applyFont="1" applyBorder="1"/>
    <xf numFmtId="194" fontId="2" fillId="0" borderId="18" xfId="0" applyNumberFormat="1" applyFont="1" applyBorder="1"/>
    <xf numFmtId="17" fontId="2" fillId="0" borderId="0" xfId="0" applyNumberFormat="1" applyFont="1"/>
    <xf numFmtId="0" fontId="2" fillId="0" borderId="40" xfId="0" applyFont="1" applyBorder="1"/>
    <xf numFmtId="0" fontId="2" fillId="0" borderId="41" xfId="0" applyFont="1" applyBorder="1"/>
    <xf numFmtId="0" fontId="2" fillId="0" borderId="40" xfId="0" applyFont="1" applyBorder="1" applyAlignment="1">
      <alignment horizontal="center" wrapText="1"/>
    </xf>
    <xf numFmtId="0" fontId="29" fillId="0" borderId="42" xfId="0" applyFont="1" applyBorder="1"/>
    <xf numFmtId="0" fontId="2" fillId="0" borderId="42" xfId="0" applyFont="1" applyBorder="1" applyAlignment="1">
      <alignment horizontal="center"/>
    </xf>
    <xf numFmtId="17" fontId="2" fillId="0" borderId="40" xfId="0" applyNumberFormat="1" applyFont="1" applyBorder="1"/>
    <xf numFmtId="184" fontId="2" fillId="0" borderId="40" xfId="0" applyNumberFormat="1" applyFont="1" applyBorder="1" applyAlignment="1">
      <alignment horizontal="center"/>
    </xf>
    <xf numFmtId="17" fontId="2" fillId="0" borderId="43" xfId="0" applyNumberFormat="1" applyFont="1" applyBorder="1"/>
    <xf numFmtId="184" fontId="2" fillId="0" borderId="43" xfId="0" applyNumberFormat="1" applyFont="1" applyBorder="1" applyAlignment="1">
      <alignment horizontal="center"/>
    </xf>
    <xf numFmtId="17" fontId="2" fillId="0" borderId="42" xfId="0" applyNumberFormat="1" applyFont="1" applyBorder="1"/>
    <xf numFmtId="184" fontId="2" fillId="0" borderId="42" xfId="0" applyNumberFormat="1" applyFont="1" applyBorder="1" applyAlignment="1">
      <alignment horizontal="center"/>
    </xf>
    <xf numFmtId="0" fontId="0" fillId="0" borderId="44" xfId="0" applyBorder="1" applyAlignment="1">
      <alignment horizontal="center"/>
    </xf>
    <xf numFmtId="184" fontId="2" fillId="0" borderId="45" xfId="0" applyNumberFormat="1" applyFont="1" applyBorder="1" applyAlignment="1">
      <alignment horizontal="center"/>
    </xf>
    <xf numFmtId="0" fontId="2" fillId="0" borderId="18" xfId="0" applyFont="1" applyBorder="1" applyAlignment="1">
      <alignment wrapText="1"/>
    </xf>
    <xf numFmtId="3" fontId="2" fillId="0" borderId="0" xfId="0" applyNumberFormat="1" applyFont="1"/>
    <xf numFmtId="1" fontId="2" fillId="0" borderId="0" xfId="0" applyNumberFormat="1" applyFont="1"/>
    <xf numFmtId="3" fontId="2" fillId="0" borderId="18" xfId="0" applyNumberFormat="1" applyFont="1" applyBorder="1"/>
    <xf numFmtId="1" fontId="2" fillId="0" borderId="18" xfId="0" applyNumberFormat="1" applyFont="1" applyBorder="1"/>
    <xf numFmtId="0" fontId="2" fillId="0" borderId="20" xfId="0" applyFont="1" applyBorder="1" applyAlignment="1">
      <alignment horizontal="center" wrapText="1"/>
    </xf>
    <xf numFmtId="0" fontId="2" fillId="0" borderId="21" xfId="0" applyFont="1" applyBorder="1" applyAlignment="1">
      <alignment horizontal="center"/>
    </xf>
    <xf numFmtId="184" fontId="26" fillId="0" borderId="46" xfId="0" applyNumberFormat="1" applyFont="1" applyBorder="1" applyAlignment="1">
      <alignment horizontal="center"/>
    </xf>
    <xf numFmtId="0" fontId="2" fillId="0" borderId="0" xfId="19" applyNumberFormat="1" applyFont="1"/>
    <xf numFmtId="2" fontId="2" fillId="0" borderId="0" xfId="0" applyNumberFormat="1" applyFont="1"/>
    <xf numFmtId="0" fontId="2" fillId="0" borderId="18" xfId="19" applyNumberFormat="1" applyFont="1" applyBorder="1"/>
    <xf numFmtId="2" fontId="2" fillId="0" borderId="18" xfId="0" applyNumberFormat="1" applyFont="1" applyBorder="1"/>
    <xf numFmtId="9" fontId="2" fillId="0" borderId="0" xfId="19" applyFont="1"/>
    <xf numFmtId="0" fontId="2" fillId="0" borderId="0" xfId="0" applyFont="1" applyAlignment="1">
      <alignment horizontal="center"/>
    </xf>
    <xf numFmtId="0" fontId="4" fillId="11" borderId="0" xfId="0" applyFont="1" applyFill="1"/>
    <xf numFmtId="0" fontId="4" fillId="0" borderId="0" xfId="0" applyFont="1"/>
    <xf numFmtId="0" fontId="0" fillId="11" borderId="0" xfId="0" applyFill="1"/>
    <xf numFmtId="196" fontId="13" fillId="5" borderId="0" xfId="0" applyNumberFormat="1" applyFont="1" applyFill="1" applyAlignment="1">
      <alignment horizontal="left" vertical="center"/>
    </xf>
    <xf numFmtId="49" fontId="13" fillId="5" borderId="0" xfId="0" applyNumberFormat="1" applyFont="1" applyFill="1" applyAlignment="1">
      <alignment horizontal="left" vertical="center"/>
    </xf>
    <xf numFmtId="0" fontId="11" fillId="5" borderId="0" xfId="0" applyFont="1" applyFill="1" applyAlignment="1">
      <alignment horizontal="center"/>
    </xf>
    <xf numFmtId="0" fontId="11" fillId="5" borderId="15" xfId="0" applyFont="1" applyFill="1" applyBorder="1" applyAlignment="1">
      <alignment horizontal="center"/>
    </xf>
    <xf numFmtId="3" fontId="13" fillId="5" borderId="0" xfId="0" applyNumberFormat="1" applyFont="1" applyFill="1" applyAlignment="1">
      <alignment horizontal="left"/>
    </xf>
    <xf numFmtId="0" fontId="13" fillId="5" borderId="0" xfId="19" applyNumberFormat="1" applyFont="1" applyFill="1" applyBorder="1"/>
    <xf numFmtId="3" fontId="13" fillId="5" borderId="19" xfId="0" applyNumberFormat="1" applyFont="1" applyFill="1" applyBorder="1" applyAlignment="1">
      <alignment horizontal="center"/>
    </xf>
    <xf numFmtId="194" fontId="11" fillId="5" borderId="0" xfId="0" applyNumberFormat="1" applyFont="1" applyFill="1" applyAlignment="1">
      <alignment horizontal="center"/>
    </xf>
    <xf numFmtId="3" fontId="13" fillId="5" borderId="0" xfId="0" applyNumberFormat="1" applyFont="1" applyFill="1"/>
    <xf numFmtId="1" fontId="13" fillId="5" borderId="0" xfId="0" applyNumberFormat="1" applyFont="1" applyFill="1"/>
    <xf numFmtId="194" fontId="13" fillId="5" borderId="0" xfId="19" applyNumberFormat="1" applyFont="1" applyFill="1" applyBorder="1"/>
    <xf numFmtId="190" fontId="13" fillId="5" borderId="0" xfId="0" applyNumberFormat="1" applyFont="1" applyFill="1"/>
    <xf numFmtId="0" fontId="12" fillId="5" borderId="0" xfId="19" applyNumberFormat="1" applyFont="1" applyFill="1" applyBorder="1"/>
    <xf numFmtId="1" fontId="12" fillId="5" borderId="0" xfId="0" applyNumberFormat="1" applyFont="1" applyFill="1"/>
    <xf numFmtId="9" fontId="12" fillId="5" borderId="18" xfId="19" applyFont="1" applyFill="1" applyBorder="1"/>
    <xf numFmtId="0" fontId="5" fillId="0" borderId="0" xfId="0" applyFont="1" applyAlignment="1">
      <alignment vertical="center"/>
    </xf>
    <xf numFmtId="0" fontId="0" fillId="0" borderId="18" xfId="0" applyFont="1" applyBorder="1" applyAlignment="1">
      <alignment wrapText="1"/>
    </xf>
    <xf numFmtId="0" fontId="23" fillId="2" borderId="47" xfId="0" applyFont="1" applyFill="1" applyBorder="1" applyAlignment="1">
      <alignment horizontal="center"/>
    </xf>
    <xf numFmtId="0" fontId="23" fillId="2" borderId="26" xfId="0" applyFont="1" applyFill="1" applyBorder="1" applyAlignment="1">
      <alignment horizontal="center"/>
    </xf>
    <xf numFmtId="4" fontId="0" fillId="0" borderId="18" xfId="0" applyNumberFormat="1" applyFont="1" applyBorder="1" applyAlignment="1">
      <alignment horizontal="right"/>
    </xf>
    <xf numFmtId="3" fontId="0" fillId="0" borderId="15" xfId="0" applyNumberFormat="1" applyFont="1" applyBorder="1" applyAlignment="1">
      <alignment horizontal="center" vertical="center" wrapText="1"/>
    </xf>
    <xf numFmtId="3" fontId="0" fillId="0" borderId="0" xfId="0" applyNumberFormat="1" applyFont="1" applyAlignment="1">
      <alignment horizontal="center" vertical="center" wrapText="1"/>
    </xf>
    <xf numFmtId="3" fontId="0" fillId="0" borderId="18" xfId="0" applyNumberFormat="1" applyFont="1" applyBorder="1" applyAlignment="1">
      <alignment horizontal="center" vertical="center" wrapText="1"/>
    </xf>
    <xf numFmtId="0" fontId="23" fillId="2" borderId="60" xfId="0" applyFont="1" applyFill="1" applyBorder="1" applyAlignment="1">
      <alignment horizontal="center"/>
    </xf>
    <xf numFmtId="0" fontId="23" fillId="2" borderId="61" xfId="0" applyFont="1" applyFill="1" applyBorder="1" applyAlignment="1">
      <alignment horizontal="center"/>
    </xf>
    <xf numFmtId="49" fontId="12" fillId="10" borderId="15" xfId="0" applyNumberFormat="1" applyFont="1" applyFill="1" applyBorder="1" applyAlignment="1">
      <alignment horizontal="left" vertical="center" wrapText="1"/>
    </xf>
    <xf numFmtId="49" fontId="12" fillId="10" borderId="20" xfId="0" applyNumberFormat="1" applyFont="1" applyFill="1" applyBorder="1" applyAlignment="1">
      <alignment horizontal="left" vertical="center" wrapText="1"/>
    </xf>
    <xf numFmtId="49" fontId="12" fillId="10" borderId="18" xfId="0" applyNumberFormat="1" applyFont="1" applyFill="1" applyBorder="1" applyAlignment="1">
      <alignment horizontal="left" vertical="center" wrapText="1"/>
    </xf>
    <xf numFmtId="49" fontId="12" fillId="10" borderId="21" xfId="0" applyNumberFormat="1" applyFont="1" applyFill="1" applyBorder="1" applyAlignment="1">
      <alignment horizontal="left" vertical="center" wrapText="1"/>
    </xf>
    <xf numFmtId="49" fontId="12" fillId="10" borderId="12" xfId="0" applyNumberFormat="1" applyFont="1" applyFill="1" applyBorder="1" applyAlignment="1">
      <alignment horizontal="left" vertical="center" wrapText="1"/>
    </xf>
    <xf numFmtId="49" fontId="12" fillId="10" borderId="22" xfId="0" applyNumberFormat="1" applyFont="1" applyFill="1" applyBorder="1" applyAlignment="1">
      <alignment horizontal="left" vertical="center" wrapText="1"/>
    </xf>
    <xf numFmtId="0" fontId="12" fillId="10" borderId="12" xfId="0" applyFont="1" applyFill="1" applyBorder="1" applyAlignment="1">
      <alignment horizontal="left" vertical="center"/>
    </xf>
    <xf numFmtId="0" fontId="12" fillId="10" borderId="22" xfId="0" applyFont="1" applyFill="1" applyBorder="1" applyAlignment="1">
      <alignment horizontal="left" vertical="center"/>
    </xf>
    <xf numFmtId="14" fontId="12" fillId="10" borderId="12" xfId="0" applyNumberFormat="1" applyFont="1" applyFill="1" applyBorder="1" applyAlignment="1">
      <alignment horizontal="left" vertical="center"/>
    </xf>
    <xf numFmtId="0" fontId="12" fillId="10" borderId="49" xfId="0" applyFont="1" applyFill="1" applyBorder="1" applyAlignment="1">
      <alignment horizontal="left" vertical="center"/>
    </xf>
    <xf numFmtId="0" fontId="12" fillId="10" borderId="50" xfId="0" applyFont="1" applyFill="1" applyBorder="1" applyAlignment="1">
      <alignment horizontal="left" vertical="center"/>
    </xf>
    <xf numFmtId="49" fontId="12" fillId="10" borderId="14" xfId="0" applyNumberFormat="1" applyFont="1" applyFill="1" applyBorder="1" applyAlignment="1">
      <alignment horizontal="left" vertical="center" wrapText="1"/>
    </xf>
    <xf numFmtId="0" fontId="12" fillId="10" borderId="17" xfId="0" applyFont="1" applyFill="1" applyBorder="1" applyAlignment="1">
      <alignment horizontal="left" vertical="center" wrapText="1"/>
    </xf>
    <xf numFmtId="0" fontId="12" fillId="10" borderId="21" xfId="0" applyFont="1" applyFill="1" applyBorder="1" applyAlignment="1">
      <alignment horizontal="left" vertical="center" wrapText="1"/>
    </xf>
    <xf numFmtId="0" fontId="12" fillId="10" borderId="12" xfId="0" applyFont="1" applyFill="1" applyBorder="1" applyAlignment="1">
      <alignment horizontal="left" vertical="center" wrapText="1"/>
    </xf>
    <xf numFmtId="0" fontId="12" fillId="10" borderId="22" xfId="0" applyFont="1" applyFill="1" applyBorder="1" applyAlignment="1">
      <alignment horizontal="left" vertical="center" wrapText="1"/>
    </xf>
    <xf numFmtId="14" fontId="12" fillId="10" borderId="12" xfId="0" applyNumberFormat="1" applyFont="1" applyFill="1" applyBorder="1" applyAlignment="1">
      <alignment horizontal="left" vertical="center" wrapText="1"/>
    </xf>
    <xf numFmtId="0" fontId="12" fillId="10" borderId="49" xfId="0" applyFont="1" applyFill="1" applyBorder="1" applyAlignment="1">
      <alignment horizontal="left" vertical="center" wrapText="1"/>
    </xf>
    <xf numFmtId="0" fontId="12" fillId="10" borderId="50" xfId="0" applyFont="1" applyFill="1" applyBorder="1" applyAlignment="1">
      <alignment horizontal="left" vertical="center" wrapText="1"/>
    </xf>
    <xf numFmtId="49" fontId="12" fillId="10" borderId="62" xfId="0" applyNumberFormat="1" applyFont="1" applyFill="1" applyBorder="1" applyAlignment="1">
      <alignment horizontal="left" vertical="center" wrapText="1"/>
    </xf>
    <xf numFmtId="49" fontId="12" fillId="10" borderId="17" xfId="0" applyNumberFormat="1" applyFont="1" applyFill="1" applyBorder="1" applyAlignment="1">
      <alignment horizontal="left" vertical="center" wrapText="1"/>
    </xf>
    <xf numFmtId="49" fontId="12" fillId="10" borderId="37" xfId="0" applyNumberFormat="1" applyFont="1" applyFill="1" applyBorder="1" applyAlignment="1">
      <alignment horizontal="left" vertical="center" wrapText="1"/>
    </xf>
    <xf numFmtId="49" fontId="12" fillId="10" borderId="13" xfId="0" applyNumberFormat="1" applyFont="1" applyFill="1" applyBorder="1" applyAlignment="1">
      <alignment horizontal="left" vertical="center" wrapText="1"/>
    </xf>
    <xf numFmtId="49" fontId="12" fillId="10" borderId="38" xfId="0" applyNumberFormat="1" applyFont="1" applyFill="1" applyBorder="1" applyAlignment="1">
      <alignment horizontal="left" vertical="center" wrapText="1"/>
    </xf>
    <xf numFmtId="49" fontId="12" fillId="10" borderId="63" xfId="0" applyNumberFormat="1" applyFont="1" applyFill="1" applyBorder="1" applyAlignment="1">
      <alignment horizontal="left" vertical="center" wrapText="1"/>
    </xf>
    <xf numFmtId="49" fontId="12" fillId="10" borderId="39" xfId="0" applyNumberFormat="1" applyFont="1" applyFill="1" applyBorder="1" applyAlignment="1">
      <alignment horizontal="left" vertical="center" wrapText="1"/>
    </xf>
    <xf numFmtId="0" fontId="12" fillId="0" borderId="0" xfId="4" applyFont="1"/>
    <xf numFmtId="0" fontId="14" fillId="5" borderId="0" xfId="4" applyFont="1" applyFill="1" applyAlignment="1">
      <alignment horizontal="center"/>
    </xf>
    <xf numFmtId="0" fontId="12" fillId="5" borderId="0" xfId="4" applyFont="1" applyFill="1" applyAlignment="1">
      <alignment horizontal="center"/>
    </xf>
    <xf numFmtId="0" fontId="13" fillId="5" borderId="0" xfId="4" applyFont="1" applyFill="1" applyAlignment="1">
      <alignment horizontal="center"/>
    </xf>
    <xf numFmtId="0" fontId="12" fillId="5" borderId="16" xfId="4" applyFont="1" applyFill="1" applyBorder="1"/>
    <xf numFmtId="0" fontId="12" fillId="5" borderId="0" xfId="4" applyFont="1" applyFill="1"/>
    <xf numFmtId="14" fontId="12" fillId="5" borderId="0" xfId="4" applyNumberFormat="1" applyFont="1" applyFill="1" applyAlignment="1">
      <alignment horizontal="center"/>
    </xf>
    <xf numFmtId="0" fontId="12" fillId="5" borderId="23" xfId="4" applyFont="1" applyFill="1" applyBorder="1"/>
    <xf numFmtId="3" fontId="12" fillId="5" borderId="0" xfId="4" applyNumberFormat="1" applyFont="1" applyFill="1" applyAlignment="1">
      <alignment horizontal="left"/>
    </xf>
    <xf numFmtId="1" fontId="12" fillId="5" borderId="0" xfId="7" applyNumberFormat="1" applyFont="1" applyFill="1" applyBorder="1" applyAlignment="1">
      <alignment horizontal="right"/>
    </xf>
    <xf numFmtId="0" fontId="14" fillId="5" borderId="53" xfId="4" applyFont="1" applyFill="1" applyBorder="1" applyAlignment="1">
      <alignment horizontal="center"/>
    </xf>
    <xf numFmtId="0" fontId="14" fillId="5" borderId="19" xfId="4" applyFont="1" applyFill="1" applyBorder="1" applyAlignment="1">
      <alignment horizontal="center"/>
    </xf>
    <xf numFmtId="3" fontId="12" fillId="5" borderId="0" xfId="4" applyNumberFormat="1" applyFont="1" applyFill="1" applyAlignment="1">
      <alignment horizontal="center"/>
    </xf>
    <xf numFmtId="3" fontId="12" fillId="5" borderId="19" xfId="4" applyNumberFormat="1" applyFont="1" applyFill="1" applyBorder="1" applyAlignment="1">
      <alignment horizontal="center"/>
    </xf>
    <xf numFmtId="3" fontId="13" fillId="5" borderId="0" xfId="4" applyNumberFormat="1" applyFont="1" applyFill="1" applyAlignment="1">
      <alignment horizontal="center"/>
    </xf>
    <xf numFmtId="194" fontId="12" fillId="5" borderId="0" xfId="4" applyNumberFormat="1" applyFont="1" applyFill="1" applyAlignment="1">
      <alignment horizontal="center"/>
    </xf>
    <xf numFmtId="0" fontId="12" fillId="5" borderId="19" xfId="4" applyFont="1" applyFill="1" applyBorder="1" applyAlignment="1">
      <alignment horizontal="center"/>
    </xf>
    <xf numFmtId="0" fontId="12" fillId="5" borderId="18" xfId="4" applyFont="1" applyFill="1" applyBorder="1"/>
    <xf numFmtId="194" fontId="13" fillId="5" borderId="0" xfId="7" applyNumberFormat="1" applyFont="1" applyFill="1" applyBorder="1" applyAlignment="1">
      <alignment horizontal="center"/>
    </xf>
    <xf numFmtId="2" fontId="13" fillId="5" borderId="0" xfId="7" applyNumberFormat="1" applyFont="1" applyFill="1" applyBorder="1" applyAlignment="1">
      <alignment horizontal="center"/>
    </xf>
    <xf numFmtId="0" fontId="12" fillId="5" borderId="19" xfId="4" applyFont="1" applyFill="1" applyBorder="1"/>
    <xf numFmtId="194" fontId="12" fillId="5" borderId="18" xfId="7" applyNumberFormat="1" applyFont="1" applyFill="1" applyBorder="1" applyAlignment="1">
      <alignment horizontal="center"/>
    </xf>
    <xf numFmtId="0" fontId="2" fillId="0" borderId="41" xfId="0" applyFont="1" applyBorder="1" applyAlignment="1">
      <alignment horizontal="center" wrapText="1"/>
    </xf>
    <xf numFmtId="191" fontId="2" fillId="0" borderId="14" xfId="0" applyNumberFormat="1" applyFont="1" applyBorder="1"/>
    <xf numFmtId="184" fontId="2" fillId="0" borderId="15" xfId="0" applyNumberFormat="1" applyFont="1" applyBorder="1" applyAlignment="1">
      <alignment horizontal="center"/>
    </xf>
    <xf numFmtId="191" fontId="2" fillId="0" borderId="16" xfId="0" applyNumberFormat="1" applyFont="1" applyBorder="1"/>
    <xf numFmtId="184" fontId="2" fillId="0" borderId="0" xfId="0" applyNumberFormat="1" applyFont="1" applyAlignment="1">
      <alignment horizontal="center"/>
    </xf>
    <xf numFmtId="191" fontId="2" fillId="0" borderId="17" xfId="0" applyNumberFormat="1" applyFont="1" applyBorder="1"/>
    <xf numFmtId="184" fontId="2" fillId="0" borderId="18" xfId="0" applyNumberFormat="1" applyFont="1" applyBorder="1" applyAlignment="1">
      <alignment horizontal="center"/>
    </xf>
    <xf numFmtId="0" fontId="2" fillId="0" borderId="44" xfId="0" applyFont="1" applyBorder="1" applyAlignment="1">
      <alignment horizontal="center"/>
    </xf>
    <xf numFmtId="184" fontId="2" fillId="0" borderId="24" xfId="0" applyNumberFormat="1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184" fontId="2" fillId="0" borderId="20" xfId="0" applyNumberFormat="1" applyFont="1" applyBorder="1" applyAlignment="1">
      <alignment horizontal="center"/>
    </xf>
    <xf numFmtId="184" fontId="2" fillId="0" borderId="19" xfId="0" applyNumberFormat="1" applyFont="1" applyBorder="1" applyAlignment="1">
      <alignment horizontal="center"/>
    </xf>
    <xf numFmtId="184" fontId="2" fillId="0" borderId="21" xfId="0" applyNumberFormat="1" applyFont="1" applyBorder="1" applyAlignment="1">
      <alignment horizontal="center"/>
    </xf>
    <xf numFmtId="184" fontId="2" fillId="0" borderId="46" xfId="0" applyNumberFormat="1" applyFont="1" applyBorder="1" applyAlignment="1">
      <alignment horizontal="center"/>
    </xf>
    <xf numFmtId="0" fontId="10" fillId="5" borderId="0" xfId="0" applyFont="1" applyFill="1" applyAlignment="1">
      <alignment vertical="center"/>
    </xf>
    <xf numFmtId="0" fontId="12" fillId="5" borderId="18" xfId="19" applyNumberFormat="1" applyFont="1" applyFill="1" applyBorder="1"/>
    <xf numFmtId="0" fontId="33" fillId="0" borderId="29" xfId="0" applyFont="1" applyBorder="1" applyAlignment="1">
      <alignment horizontal="center" vertical="center" textRotation="90" shrinkToFit="1"/>
    </xf>
    <xf numFmtId="0" fontId="33" fillId="0" borderId="64" xfId="0" applyFont="1" applyBorder="1" applyAlignment="1">
      <alignment horizontal="center" vertical="center" textRotation="90" shrinkToFit="1"/>
    </xf>
    <xf numFmtId="0" fontId="20" fillId="0" borderId="64" xfId="0" applyFont="1" applyBorder="1" applyAlignment="1">
      <alignment horizontal="center"/>
    </xf>
    <xf numFmtId="0" fontId="33" fillId="0" borderId="65" xfId="0" applyFont="1" applyBorder="1" applyAlignment="1">
      <alignment horizontal="center" vertical="center" textRotation="90" shrinkToFit="1"/>
    </xf>
    <xf numFmtId="2" fontId="0" fillId="0" borderId="15" xfId="0" applyNumberFormat="1" applyBorder="1"/>
    <xf numFmtId="0" fontId="33" fillId="0" borderId="65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66" xfId="0" applyFont="1" applyBorder="1" applyAlignment="1">
      <alignment horizontal="center" vertical="center" textRotation="90" shrinkToFit="1"/>
    </xf>
    <xf numFmtId="0" fontId="0" fillId="0" borderId="67" xfId="0" applyBorder="1"/>
    <xf numFmtId="0" fontId="0" fillId="0" borderId="29" xfId="0" applyBorder="1"/>
    <xf numFmtId="0" fontId="0" fillId="0" borderId="64" xfId="0" applyBorder="1"/>
    <xf numFmtId="0" fontId="0" fillId="0" borderId="65" xfId="0" applyBorder="1"/>
    <xf numFmtId="191" fontId="0" fillId="0" borderId="15" xfId="0" applyNumberFormat="1" applyBorder="1"/>
    <xf numFmtId="0" fontId="0" fillId="0" borderId="66" xfId="0" applyBorder="1"/>
    <xf numFmtId="1" fontId="4" fillId="0" borderId="0" xfId="0" applyNumberFormat="1" applyFont="1"/>
    <xf numFmtId="4" fontId="0" fillId="0" borderId="0" xfId="0" applyNumberFormat="1"/>
    <xf numFmtId="179" fontId="0" fillId="0" borderId="0" xfId="0" applyNumberFormat="1"/>
    <xf numFmtId="187" fontId="4" fillId="0" borderId="0" xfId="19" applyNumberFormat="1" applyFont="1"/>
    <xf numFmtId="0" fontId="33" fillId="0" borderId="0" xfId="19" applyNumberFormat="1" applyFont="1"/>
    <xf numFmtId="0" fontId="0" fillId="0" borderId="0" xfId="19" applyNumberFormat="1" applyFont="1"/>
    <xf numFmtId="3" fontId="33" fillId="0" borderId="0" xfId="0" applyNumberFormat="1" applyFont="1"/>
    <xf numFmtId="3" fontId="4" fillId="0" borderId="0" xfId="0" applyNumberFormat="1" applyFont="1"/>
    <xf numFmtId="187" fontId="0" fillId="0" borderId="0" xfId="19" applyNumberFormat="1" applyFont="1" applyBorder="1"/>
    <xf numFmtId="0" fontId="0" fillId="0" borderId="30" xfId="0" applyBorder="1"/>
    <xf numFmtId="0" fontId="0" fillId="0" borderId="68" xfId="0" applyBorder="1"/>
    <xf numFmtId="0" fontId="0" fillId="0" borderId="69" xfId="0" applyBorder="1"/>
    <xf numFmtId="0" fontId="20" fillId="0" borderId="30" xfId="0" applyFont="1" applyBorder="1" applyAlignment="1">
      <alignment horizontal="center"/>
    </xf>
    <xf numFmtId="2" fontId="0" fillId="0" borderId="68" xfId="0" applyNumberFormat="1" applyBorder="1"/>
    <xf numFmtId="49" fontId="13" fillId="5" borderId="0" xfId="0" applyNumberFormat="1" applyFont="1" applyFill="1"/>
    <xf numFmtId="1" fontId="17" fillId="5" borderId="0" xfId="0" applyNumberFormat="1" applyFont="1" applyFill="1" applyAlignment="1">
      <alignment horizontal="center"/>
    </xf>
    <xf numFmtId="0" fontId="17" fillId="5" borderId="0" xfId="0" applyFont="1" applyFill="1" applyAlignment="1">
      <alignment horizontal="center"/>
    </xf>
    <xf numFmtId="194" fontId="13" fillId="5" borderId="0" xfId="0" applyNumberFormat="1" applyFont="1" applyFill="1"/>
    <xf numFmtId="2" fontId="13" fillId="5" borderId="0" xfId="0" applyNumberFormat="1" applyFont="1" applyFill="1"/>
    <xf numFmtId="183" fontId="13" fillId="5" borderId="0" xfId="42" applyNumberFormat="1" applyFont="1" applyFill="1" applyBorder="1"/>
    <xf numFmtId="182" fontId="13" fillId="5" borderId="0" xfId="42" applyNumberFormat="1" applyFont="1" applyFill="1" applyBorder="1"/>
    <xf numFmtId="194" fontId="13" fillId="8" borderId="19" xfId="0" applyNumberFormat="1" applyFont="1" applyFill="1" applyBorder="1" applyAlignment="1">
      <alignment horizontal="center"/>
    </xf>
    <xf numFmtId="178" fontId="0" fillId="0" borderId="0" xfId="0" applyNumberFormat="1"/>
    <xf numFmtId="15" fontId="12" fillId="8" borderId="19" xfId="0" applyNumberFormat="1" applyFont="1" applyFill="1" applyBorder="1" applyAlignment="1">
      <alignment horizontal="center"/>
    </xf>
    <xf numFmtId="15" fontId="13" fillId="8" borderId="19" xfId="0" applyNumberFormat="1" applyFont="1" applyFill="1" applyBorder="1" applyAlignment="1">
      <alignment horizontal="center"/>
    </xf>
    <xf numFmtId="0" fontId="34" fillId="2" borderId="0" xfId="0" applyFont="1" applyFill="1"/>
    <xf numFmtId="4" fontId="12" fillId="5" borderId="0" xfId="0" applyNumberFormat="1" applyFont="1" applyFill="1" applyAlignment="1">
      <alignment horizontal="center"/>
    </xf>
    <xf numFmtId="15" fontId="12" fillId="5" borderId="19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87" fontId="12" fillId="0" borderId="0" xfId="19" applyNumberFormat="1" applyFont="1" applyAlignment="1">
      <alignment horizontal="center"/>
    </xf>
    <xf numFmtId="187" fontId="12" fillId="0" borderId="0" xfId="19" applyNumberFormat="1" applyFont="1"/>
    <xf numFmtId="0" fontId="2" fillId="2" borderId="0" xfId="0" applyFont="1" applyFill="1" applyAlignment="1">
      <alignment vertical="center"/>
    </xf>
    <xf numFmtId="2" fontId="2" fillId="2" borderId="0" xfId="19" applyNumberFormat="1" applyFont="1" applyFill="1" applyBorder="1" applyAlignment="1">
      <alignment vertical="center"/>
    </xf>
    <xf numFmtId="9" fontId="2" fillId="2" borderId="0" xfId="19" applyFont="1" applyFill="1" applyBorder="1" applyAlignment="1">
      <alignment vertical="center"/>
    </xf>
    <xf numFmtId="197" fontId="2" fillId="2" borderId="0" xfId="42" applyNumberFormat="1" applyFont="1" applyFill="1" applyBorder="1" applyAlignment="1">
      <alignment vertical="center"/>
    </xf>
    <xf numFmtId="196" fontId="35" fillId="0" borderId="0" xfId="9" applyFont="1" applyAlignment="1">
      <alignment horizontal="left"/>
    </xf>
    <xf numFmtId="0" fontId="34" fillId="2" borderId="0" xfId="0" applyFont="1" applyFill="1" applyAlignment="1">
      <alignment vertical="center"/>
    </xf>
    <xf numFmtId="0" fontId="12" fillId="11" borderId="0" xfId="0" applyFont="1" applyFill="1"/>
    <xf numFmtId="0" fontId="16" fillId="2" borderId="0" xfId="0" applyFont="1" applyFill="1"/>
    <xf numFmtId="3" fontId="16" fillId="2" borderId="0" xfId="0" applyNumberFormat="1" applyFont="1" applyFill="1" applyAlignment="1">
      <alignment horizontal="center"/>
    </xf>
    <xf numFmtId="10" fontId="13" fillId="2" borderId="0" xfId="19" applyNumberFormat="1" applyFont="1" applyFill="1" applyBorder="1" applyAlignment="1">
      <alignment horizontal="left"/>
    </xf>
    <xf numFmtId="197" fontId="8" fillId="2" borderId="0" xfId="42" applyNumberFormat="1" applyFont="1" applyFill="1" applyBorder="1" applyAlignment="1">
      <alignment horizontal="right" vertical="center"/>
    </xf>
    <xf numFmtId="197" fontId="5" fillId="2" borderId="0" xfId="42" applyNumberFormat="1" applyFont="1" applyFill="1" applyBorder="1" applyAlignment="1">
      <alignment horizontal="right" vertical="center"/>
    </xf>
    <xf numFmtId="0" fontId="15" fillId="5" borderId="16" xfId="0" applyFont="1" applyFill="1" applyBorder="1" applyAlignment="1">
      <alignment vertical="center"/>
    </xf>
    <xf numFmtId="0" fontId="13" fillId="5" borderId="0" xfId="0" applyFont="1" applyFill="1" applyAlignment="1">
      <alignment horizontal="center" vertical="center"/>
    </xf>
    <xf numFmtId="0" fontId="13" fillId="5" borderId="17" xfId="0" applyFont="1" applyFill="1" applyBorder="1"/>
    <xf numFmtId="0" fontId="15" fillId="5" borderId="14" xfId="0" applyFont="1" applyFill="1" applyBorder="1" applyAlignment="1">
      <alignment vertical="center"/>
    </xf>
    <xf numFmtId="3" fontId="13" fillId="5" borderId="16" xfId="0" applyNumberFormat="1" applyFont="1" applyFill="1" applyBorder="1" applyAlignment="1">
      <alignment horizontal="center"/>
    </xf>
    <xf numFmtId="1" fontId="13" fillId="5" borderId="16" xfId="0" applyNumberFormat="1" applyFont="1" applyFill="1" applyBorder="1" applyAlignment="1">
      <alignment horizontal="center"/>
    </xf>
    <xf numFmtId="3" fontId="13" fillId="5" borderId="18" xfId="0" applyNumberFormat="1" applyFont="1" applyFill="1" applyBorder="1" applyAlignment="1">
      <alignment horizontal="center"/>
    </xf>
    <xf numFmtId="0" fontId="15" fillId="5" borderId="16" xfId="0" applyFont="1" applyFill="1" applyBorder="1"/>
    <xf numFmtId="0" fontId="18" fillId="5" borderId="19" xfId="0" applyFont="1" applyFill="1" applyBorder="1" applyAlignment="1">
      <alignment horizontal="center"/>
    </xf>
    <xf numFmtId="1" fontId="36" fillId="5" borderId="0" xfId="0" applyNumberFormat="1" applyFont="1" applyFill="1" applyAlignment="1">
      <alignment horizontal="center"/>
    </xf>
    <xf numFmtId="0" fontId="15" fillId="5" borderId="0" xfId="0" applyFont="1" applyFill="1"/>
    <xf numFmtId="0" fontId="13" fillId="5" borderId="0" xfId="18" applyFont="1" applyFill="1"/>
    <xf numFmtId="0" fontId="18" fillId="5" borderId="0" xfId="0" applyFont="1" applyFill="1" applyAlignment="1">
      <alignment vertical="center"/>
    </xf>
    <xf numFmtId="3" fontId="13" fillId="5" borderId="0" xfId="0" applyNumberFormat="1" applyFont="1" applyFill="1" applyAlignment="1">
      <alignment horizontal="right"/>
    </xf>
    <xf numFmtId="0" fontId="15" fillId="5" borderId="15" xfId="0" applyFont="1" applyFill="1" applyBorder="1" applyAlignment="1">
      <alignment vertical="center"/>
    </xf>
    <xf numFmtId="0" fontId="13" fillId="5" borderId="20" xfId="0" applyFont="1" applyFill="1" applyBorder="1"/>
    <xf numFmtId="0" fontId="13" fillId="5" borderId="0" xfId="3" applyFont="1" applyFill="1" applyAlignment="1">
      <alignment horizontal="center"/>
    </xf>
    <xf numFmtId="0" fontId="16" fillId="5" borderId="0" xfId="0" applyFont="1" applyFill="1" applyAlignment="1">
      <alignment horizontal="center"/>
    </xf>
    <xf numFmtId="0" fontId="16" fillId="5" borderId="19" xfId="0" applyFont="1" applyFill="1" applyBorder="1"/>
    <xf numFmtId="0" fontId="13" fillId="5" borderId="18" xfId="18" applyFont="1" applyFill="1" applyBorder="1"/>
    <xf numFmtId="0" fontId="13" fillId="5" borderId="21" xfId="0" applyFont="1" applyFill="1" applyBorder="1"/>
    <xf numFmtId="0" fontId="13" fillId="0" borderId="0" xfId="0" applyFont="1"/>
    <xf numFmtId="194" fontId="13" fillId="0" borderId="0" xfId="19" applyNumberFormat="1" applyFont="1" applyFill="1" applyBorder="1" applyAlignment="1">
      <alignment horizontal="right"/>
    </xf>
    <xf numFmtId="197" fontId="0" fillId="2" borderId="0" xfId="0" applyNumberFormat="1" applyFill="1" applyAlignment="1">
      <alignment vertical="center"/>
    </xf>
    <xf numFmtId="188" fontId="12" fillId="0" borderId="0" xfId="0" applyNumberFormat="1" applyFont="1"/>
    <xf numFmtId="3" fontId="12" fillId="2" borderId="0" xfId="0" applyNumberFormat="1" applyFont="1" applyFill="1"/>
    <xf numFmtId="0" fontId="25" fillId="5" borderId="18" xfId="0" applyFont="1" applyFill="1" applyBorder="1" applyAlignment="1">
      <alignment horizontal="center"/>
    </xf>
    <xf numFmtId="3" fontId="12" fillId="5" borderId="16" xfId="0" applyNumberFormat="1" applyFont="1" applyFill="1" applyBorder="1" applyAlignment="1">
      <alignment horizontal="left"/>
    </xf>
    <xf numFmtId="2" fontId="12" fillId="8" borderId="0" xfId="0" applyNumberFormat="1" applyFont="1" applyFill="1"/>
    <xf numFmtId="181" fontId="13" fillId="5" borderId="0" xfId="0" applyNumberFormat="1" applyFont="1" applyFill="1" applyAlignment="1">
      <alignment horizontal="left" vertical="center"/>
    </xf>
    <xf numFmtId="2" fontId="12" fillId="5" borderId="0" xfId="0" applyNumberFormat="1" applyFont="1" applyFill="1"/>
    <xf numFmtId="197" fontId="2" fillId="4" borderId="6" xfId="42" applyNumberFormat="1" applyFont="1" applyFill="1" applyBorder="1" applyAlignment="1">
      <alignment horizontal="left" vertical="center"/>
    </xf>
    <xf numFmtId="0" fontId="0" fillId="0" borderId="18" xfId="0" applyBorder="1" applyAlignment="1">
      <alignment wrapText="1"/>
    </xf>
    <xf numFmtId="9" fontId="0" fillId="0" borderId="0" xfId="19" applyFont="1"/>
    <xf numFmtId="0" fontId="0" fillId="0" borderId="18" xfId="19" applyNumberFormat="1" applyFont="1" applyBorder="1"/>
    <xf numFmtId="9" fontId="0" fillId="0" borderId="18" xfId="19" applyFont="1" applyBorder="1"/>
    <xf numFmtId="187" fontId="0" fillId="0" borderId="0" xfId="19" applyNumberFormat="1" applyFont="1"/>
    <xf numFmtId="9" fontId="0" fillId="0" borderId="0" xfId="19" applyFont="1" applyAlignment="1"/>
    <xf numFmtId="1" fontId="0" fillId="0" borderId="0" xfId="19" applyNumberFormat="1" applyFont="1"/>
    <xf numFmtId="1" fontId="12" fillId="5" borderId="0" xfId="19" applyNumberFormat="1" applyFont="1" applyFill="1" applyBorder="1" applyAlignment="1">
      <alignment horizontal="right"/>
    </xf>
    <xf numFmtId="0" fontId="14" fillId="5" borderId="0" xfId="0" applyFont="1" applyFill="1" applyAlignment="1">
      <alignment horizontal="center" wrapText="1"/>
    </xf>
    <xf numFmtId="3" fontId="14" fillId="5" borderId="0" xfId="0" applyNumberFormat="1" applyFont="1" applyFill="1" applyAlignment="1">
      <alignment horizontal="center" wrapText="1"/>
    </xf>
    <xf numFmtId="0" fontId="13" fillId="5" borderId="21" xfId="0" applyFont="1" applyFill="1" applyBorder="1" applyAlignment="1">
      <alignment horizontal="right"/>
    </xf>
    <xf numFmtId="0" fontId="13" fillId="5" borderId="16" xfId="0" applyFont="1" applyFill="1" applyBorder="1" applyAlignment="1">
      <alignment horizontal="left" wrapText="1"/>
    </xf>
    <xf numFmtId="0" fontId="10" fillId="5" borderId="16" xfId="0" applyFont="1" applyFill="1" applyBorder="1" applyAlignment="1">
      <alignment horizontal="left" vertical="center" wrapText="1"/>
    </xf>
    <xf numFmtId="1" fontId="12" fillId="5" borderId="0" xfId="0" applyNumberFormat="1" applyFont="1" applyFill="1" applyAlignment="1">
      <alignment horizontal="right"/>
    </xf>
    <xf numFmtId="0" fontId="13" fillId="5" borderId="0" xfId="0" applyFont="1" applyFill="1" applyAlignment="1">
      <alignment horizontal="left" wrapText="1"/>
    </xf>
    <xf numFmtId="0" fontId="10" fillId="5" borderId="0" xfId="0" applyFont="1" applyFill="1" applyAlignment="1">
      <alignment horizontal="left" vertical="center" wrapText="1"/>
    </xf>
    <xf numFmtId="0" fontId="10" fillId="5" borderId="19" xfId="0" applyFont="1" applyFill="1" applyBorder="1" applyAlignment="1">
      <alignment horizontal="left" vertical="center" wrapText="1"/>
    </xf>
    <xf numFmtId="196" fontId="13" fillId="5" borderId="0" xfId="0" applyNumberFormat="1" applyFont="1" applyFill="1" applyAlignment="1">
      <alignment horizontal="left"/>
    </xf>
    <xf numFmtId="0" fontId="12" fillId="5" borderId="16" xfId="0" applyFont="1" applyFill="1" applyBorder="1" applyAlignment="1">
      <alignment horizontal="left"/>
    </xf>
    <xf numFmtId="0" fontId="11" fillId="5" borderId="17" xfId="0" applyFont="1" applyFill="1" applyBorder="1"/>
    <xf numFmtId="0" fontId="13" fillId="5" borderId="16" xfId="3" applyFont="1" applyFill="1" applyBorder="1"/>
    <xf numFmtId="0" fontId="16" fillId="5" borderId="17" xfId="0" applyFont="1" applyFill="1" applyBorder="1"/>
    <xf numFmtId="0" fontId="14" fillId="5" borderId="70" xfId="0" applyFont="1" applyFill="1" applyBorder="1" applyAlignment="1">
      <alignment horizontal="center"/>
    </xf>
    <xf numFmtId="184" fontId="12" fillId="5" borderId="0" xfId="0" applyNumberFormat="1" applyFont="1" applyFill="1" applyAlignment="1">
      <alignment horizontal="center"/>
    </xf>
    <xf numFmtId="0" fontId="10" fillId="5" borderId="15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4" fontId="0" fillId="0" borderId="0" xfId="0" applyNumberFormat="1" applyFont="1" applyAlignment="1">
      <alignment horizontal="left"/>
    </xf>
    <xf numFmtId="0" fontId="13" fillId="5" borderId="15" xfId="0" applyFont="1" applyFill="1" applyBorder="1" applyAlignment="1">
      <alignment vertical="center"/>
    </xf>
    <xf numFmtId="14" fontId="13" fillId="5" borderId="0" xfId="0" applyNumberFormat="1" applyFont="1" applyFill="1" applyAlignment="1">
      <alignment horizontal="left" vertical="center"/>
    </xf>
    <xf numFmtId="0" fontId="37" fillId="5" borderId="0" xfId="0" applyFont="1" applyFill="1" applyAlignment="1">
      <alignment horizontal="center"/>
    </xf>
    <xf numFmtId="0" fontId="18" fillId="5" borderId="19" xfId="0" applyFont="1" applyFill="1" applyBorder="1" applyAlignment="1">
      <alignment horizontal="center" wrapText="1"/>
    </xf>
    <xf numFmtId="0" fontId="13" fillId="5" borderId="20" xfId="0" applyFont="1" applyFill="1" applyBorder="1" applyAlignment="1">
      <alignment vertical="center"/>
    </xf>
    <xf numFmtId="9" fontId="12" fillId="5" borderId="0" xfId="19" applyFont="1" applyFill="1" applyBorder="1"/>
    <xf numFmtId="0" fontId="0" fillId="0" borderId="17" xfId="0" applyBorder="1"/>
    <xf numFmtId="0" fontId="12" fillId="0" borderId="18" xfId="0" applyFont="1" applyBorder="1"/>
    <xf numFmtId="0" fontId="12" fillId="0" borderId="21" xfId="0" applyFont="1" applyBorder="1"/>
    <xf numFmtId="0" fontId="2" fillId="4" borderId="4" xfId="0" applyFont="1" applyFill="1" applyBorder="1" applyAlignment="1">
      <alignment horizontal="center" vertical="center"/>
    </xf>
    <xf numFmtId="0" fontId="25" fillId="5" borderId="19" xfId="0" applyFont="1" applyFill="1" applyBorder="1" applyAlignment="1">
      <alignment horizontal="center"/>
    </xf>
    <xf numFmtId="190" fontId="12" fillId="5" borderId="19" xfId="0" applyNumberFormat="1" applyFont="1" applyFill="1" applyBorder="1" applyAlignment="1">
      <alignment horizontal="center"/>
    </xf>
    <xf numFmtId="9" fontId="13" fillId="5" borderId="0" xfId="19" applyFont="1" applyFill="1" applyBorder="1" applyAlignment="1">
      <alignment horizontal="right"/>
    </xf>
    <xf numFmtId="191" fontId="26" fillId="0" borderId="0" xfId="0" applyNumberFormat="1" applyFont="1"/>
    <xf numFmtId="194" fontId="26" fillId="0" borderId="0" xfId="0" applyNumberFormat="1" applyFont="1"/>
    <xf numFmtId="191" fontId="26" fillId="0" borderId="18" xfId="0" applyNumberFormat="1" applyFont="1" applyBorder="1"/>
    <xf numFmtId="194" fontId="26" fillId="0" borderId="18" xfId="0" applyNumberFormat="1" applyFont="1" applyBorder="1"/>
    <xf numFmtId="2" fontId="26" fillId="0" borderId="0" xfId="0" applyNumberFormat="1" applyFont="1"/>
    <xf numFmtId="191" fontId="26" fillId="0" borderId="40" xfId="0" applyNumberFormat="1" applyFont="1" applyBorder="1"/>
    <xf numFmtId="184" fontId="26" fillId="0" borderId="40" xfId="0" applyNumberFormat="1" applyFont="1" applyBorder="1" applyAlignment="1">
      <alignment horizontal="center"/>
    </xf>
    <xf numFmtId="191" fontId="26" fillId="0" borderId="43" xfId="0" applyNumberFormat="1" applyFont="1" applyBorder="1"/>
    <xf numFmtId="184" fontId="26" fillId="0" borderId="43" xfId="0" applyNumberFormat="1" applyFont="1" applyBorder="1" applyAlignment="1">
      <alignment horizontal="center"/>
    </xf>
    <xf numFmtId="191" fontId="26" fillId="0" borderId="42" xfId="0" applyNumberFormat="1" applyFont="1" applyBorder="1"/>
    <xf numFmtId="184" fontId="26" fillId="0" borderId="42" xfId="0" applyNumberFormat="1" applyFont="1" applyBorder="1" applyAlignment="1">
      <alignment horizontal="center"/>
    </xf>
    <xf numFmtId="0" fontId="26" fillId="0" borderId="44" xfId="0" applyFont="1" applyBorder="1" applyAlignment="1">
      <alignment horizontal="center"/>
    </xf>
    <xf numFmtId="184" fontId="26" fillId="0" borderId="45" xfId="0" applyNumberFormat="1" applyFont="1" applyBorder="1" applyAlignment="1">
      <alignment horizontal="center"/>
    </xf>
    <xf numFmtId="3" fontId="26" fillId="0" borderId="0" xfId="0" applyNumberFormat="1" applyFont="1"/>
    <xf numFmtId="1" fontId="26" fillId="0" borderId="0" xfId="0" applyNumberFormat="1" applyFont="1"/>
    <xf numFmtId="3" fontId="26" fillId="0" borderId="18" xfId="0" applyNumberFormat="1" applyFont="1" applyBorder="1"/>
    <xf numFmtId="184" fontId="26" fillId="0" borderId="19" xfId="0" applyNumberFormat="1" applyFont="1" applyBorder="1" applyAlignment="1">
      <alignment horizontal="center"/>
    </xf>
    <xf numFmtId="184" fontId="26" fillId="0" borderId="21" xfId="0" applyNumberFormat="1" applyFont="1" applyBorder="1" applyAlignment="1">
      <alignment horizontal="center"/>
    </xf>
    <xf numFmtId="2" fontId="26" fillId="0" borderId="18" xfId="0" applyNumberFormat="1" applyFont="1" applyBorder="1"/>
    <xf numFmtId="190" fontId="13" fillId="5" borderId="0" xfId="0" applyNumberFormat="1" applyFont="1" applyFill="1" applyAlignment="1">
      <alignment horizontal="center"/>
    </xf>
    <xf numFmtId="183" fontId="12" fillId="5" borderId="0" xfId="42" applyNumberFormat="1" applyFont="1" applyFill="1" applyBorder="1"/>
    <xf numFmtId="3" fontId="28" fillId="5" borderId="0" xfId="0" applyNumberFormat="1" applyFont="1" applyFill="1" applyAlignment="1">
      <alignment horizontal="center"/>
    </xf>
    <xf numFmtId="194" fontId="13" fillId="2" borderId="0" xfId="0" applyNumberFormat="1" applyFont="1" applyFill="1"/>
    <xf numFmtId="9" fontId="12" fillId="0" borderId="0" xfId="0" applyNumberFormat="1" applyFont="1"/>
    <xf numFmtId="0" fontId="0" fillId="0" borderId="40" xfId="0" applyBorder="1"/>
    <xf numFmtId="0" fontId="0" fillId="0" borderId="41" xfId="0" applyBorder="1"/>
    <xf numFmtId="0" fontId="4" fillId="0" borderId="42" xfId="0" applyFont="1" applyBorder="1"/>
    <xf numFmtId="191" fontId="0" fillId="0" borderId="40" xfId="0" applyNumberFormat="1" applyBorder="1"/>
    <xf numFmtId="191" fontId="0" fillId="0" borderId="43" xfId="0" applyNumberFormat="1" applyBorder="1"/>
    <xf numFmtId="191" fontId="0" fillId="0" borderId="42" xfId="0" applyNumberFormat="1" applyBorder="1"/>
    <xf numFmtId="0" fontId="2" fillId="0" borderId="0" xfId="42" applyNumberFormat="1" applyFont="1"/>
    <xf numFmtId="0" fontId="2" fillId="0" borderId="18" xfId="42" applyNumberFormat="1" applyFont="1" applyBorder="1"/>
    <xf numFmtId="1" fontId="13" fillId="5" borderId="0" xfId="19" applyNumberFormat="1" applyFont="1" applyFill="1" applyBorder="1"/>
    <xf numFmtId="2" fontId="0" fillId="12" borderId="0" xfId="19" applyNumberFormat="1" applyFont="1" applyFill="1" applyAlignment="1">
      <alignment horizontal="center"/>
    </xf>
    <xf numFmtId="2" fontId="0" fillId="12" borderId="24" xfId="19" applyNumberFormat="1" applyFont="1" applyFill="1" applyBorder="1" applyAlignment="1">
      <alignment horizontal="center"/>
    </xf>
    <xf numFmtId="184" fontId="2" fillId="12" borderId="19" xfId="0" applyNumberFormat="1" applyFont="1" applyFill="1" applyBorder="1" applyAlignment="1">
      <alignment horizontal="center"/>
    </xf>
    <xf numFmtId="184" fontId="2" fillId="12" borderId="21" xfId="0" applyNumberFormat="1" applyFont="1" applyFill="1" applyBorder="1" applyAlignment="1">
      <alignment horizontal="center"/>
    </xf>
    <xf numFmtId="184" fontId="0" fillId="0" borderId="45" xfId="0" applyNumberFormat="1" applyBorder="1" applyAlignment="1">
      <alignment horizontal="center"/>
    </xf>
    <xf numFmtId="184" fontId="0" fillId="0" borderId="46" xfId="0" applyNumberFormat="1" applyBorder="1" applyAlignment="1">
      <alignment horizontal="center"/>
    </xf>
    <xf numFmtId="184" fontId="0" fillId="12" borderId="0" xfId="19" applyNumberFormat="1" applyFont="1" applyFill="1" applyAlignment="1">
      <alignment horizontal="center"/>
    </xf>
    <xf numFmtId="2" fontId="0" fillId="12" borderId="0" xfId="0" applyNumberFormat="1" applyFill="1" applyAlignment="1">
      <alignment horizontal="center"/>
    </xf>
    <xf numFmtId="2" fontId="0" fillId="12" borderId="24" xfId="0" applyNumberFormat="1" applyFill="1" applyBorder="1" applyAlignment="1">
      <alignment horizontal="center"/>
    </xf>
    <xf numFmtId="1" fontId="12" fillId="5" borderId="18" xfId="0" applyNumberFormat="1" applyFont="1" applyFill="1" applyBorder="1"/>
    <xf numFmtId="0" fontId="28" fillId="2" borderId="0" xfId="0" applyFont="1" applyFill="1"/>
    <xf numFmtId="184" fontId="20" fillId="0" borderId="43" xfId="0" applyNumberFormat="1" applyFont="1" applyBorder="1" applyAlignment="1">
      <alignment horizontal="center"/>
    </xf>
    <xf numFmtId="198" fontId="0" fillId="0" borderId="0" xfId="42" applyFont="1" applyBorder="1"/>
    <xf numFmtId="1" fontId="13" fillId="5" borderId="0" xfId="0" applyNumberFormat="1" applyFont="1" applyFill="1" applyAlignment="1">
      <alignment horizontal="right"/>
    </xf>
    <xf numFmtId="179" fontId="4" fillId="0" borderId="0" xfId="0" applyNumberFormat="1" applyFont="1"/>
    <xf numFmtId="177" fontId="4" fillId="0" borderId="0" xfId="0" applyNumberFormat="1" applyFont="1"/>
    <xf numFmtId="176" fontId="4" fillId="0" borderId="0" xfId="0" applyNumberFormat="1" applyFont="1"/>
    <xf numFmtId="0" fontId="0" fillId="0" borderId="0" xfId="0" applyAlignment="1">
      <alignment wrapText="1"/>
    </xf>
    <xf numFmtId="0" fontId="33" fillId="0" borderId="65" xfId="0" applyFont="1" applyBorder="1" applyAlignment="1">
      <alignment horizontal="center" vertical="center" textRotation="90" wrapText="1" shrinkToFit="1"/>
    </xf>
    <xf numFmtId="0" fontId="0" fillId="13" borderId="0" xfId="0" applyFill="1" applyAlignment="1">
      <alignment wrapText="1"/>
    </xf>
    <xf numFmtId="0" fontId="0" fillId="13" borderId="0" xfId="0" applyFill="1"/>
    <xf numFmtId="2" fontId="0" fillId="13" borderId="0" xfId="0" applyNumberFormat="1" applyFill="1"/>
    <xf numFmtId="0" fontId="2" fillId="0" borderId="0" xfId="0" applyFont="1" applyAlignment="1">
      <alignment wrapText="1"/>
    </xf>
    <xf numFmtId="0" fontId="0" fillId="0" borderId="68" xfId="0" applyBorder="1" applyAlignment="1">
      <alignment wrapText="1"/>
    </xf>
    <xf numFmtId="4" fontId="16" fillId="13" borderId="0" xfId="0" applyNumberFormat="1" applyFont="1" applyFill="1" applyAlignment="1">
      <alignment horizontal="center"/>
    </xf>
    <xf numFmtId="4" fontId="12" fillId="5" borderId="18" xfId="0" applyNumberFormat="1" applyFont="1" applyFill="1" applyBorder="1" applyAlignment="1">
      <alignment horizontal="center"/>
    </xf>
    <xf numFmtId="0" fontId="12" fillId="2" borderId="0" xfId="0" applyFont="1" applyFill="1" applyAlignment="1">
      <alignment horizontal="center" vertical="center"/>
    </xf>
    <xf numFmtId="184" fontId="12" fillId="2" borderId="0" xfId="0" applyNumberFormat="1" applyFont="1" applyFill="1" applyAlignment="1">
      <alignment horizontal="center"/>
    </xf>
    <xf numFmtId="1" fontId="16" fillId="13" borderId="0" xfId="0" applyNumberFormat="1" applyFont="1" applyFill="1" applyAlignment="1">
      <alignment horizontal="center"/>
    </xf>
    <xf numFmtId="0" fontId="16" fillId="13" borderId="0" xfId="0" applyFont="1" applyFill="1" applyAlignment="1">
      <alignment horizontal="center"/>
    </xf>
    <xf numFmtId="194" fontId="16" fillId="13" borderId="0" xfId="0" applyNumberFormat="1" applyFont="1" applyFill="1" applyAlignment="1">
      <alignment horizontal="center"/>
    </xf>
    <xf numFmtId="179" fontId="12" fillId="5" borderId="0" xfId="0" applyNumberFormat="1" applyFont="1" applyFill="1" applyAlignment="1">
      <alignment horizontal="center"/>
    </xf>
    <xf numFmtId="1" fontId="16" fillId="13" borderId="19" xfId="0" applyNumberFormat="1" applyFont="1" applyFill="1" applyBorder="1" applyAlignment="1">
      <alignment horizontal="center"/>
    </xf>
    <xf numFmtId="190" fontId="16" fillId="13" borderId="0" xfId="0" applyNumberFormat="1" applyFont="1" applyFill="1" applyAlignment="1">
      <alignment horizontal="center"/>
    </xf>
    <xf numFmtId="194" fontId="13" fillId="11" borderId="0" xfId="0" applyNumberFormat="1" applyFont="1" applyFill="1"/>
    <xf numFmtId="2" fontId="12" fillId="2" borderId="0" xfId="0" applyNumberFormat="1" applyFont="1" applyFill="1" applyAlignment="1">
      <alignment horizontal="center" vertical="center"/>
    </xf>
    <xf numFmtId="183" fontId="12" fillId="2" borderId="0" xfId="42" applyNumberFormat="1" applyFont="1" applyFill="1" applyBorder="1" applyAlignment="1">
      <alignment horizontal="center" vertical="center"/>
    </xf>
    <xf numFmtId="0" fontId="38" fillId="0" borderId="41" xfId="0" applyFont="1" applyBorder="1"/>
    <xf numFmtId="3" fontId="38" fillId="0" borderId="41" xfId="0" applyNumberFormat="1" applyFont="1" applyBorder="1"/>
    <xf numFmtId="1" fontId="38" fillId="0" borderId="41" xfId="0" applyNumberFormat="1" applyFont="1" applyBorder="1"/>
    <xf numFmtId="4" fontId="38" fillId="0" borderId="41" xfId="0" applyNumberFormat="1" applyFont="1" applyBorder="1"/>
    <xf numFmtId="194" fontId="38" fillId="0" borderId="41" xfId="0" applyNumberFormat="1" applyFont="1" applyBorder="1"/>
    <xf numFmtId="2" fontId="38" fillId="0" borderId="41" xfId="0" applyNumberFormat="1" applyFont="1" applyBorder="1"/>
    <xf numFmtId="198" fontId="38" fillId="0" borderId="41" xfId="42" applyFont="1" applyBorder="1"/>
    <xf numFmtId="3" fontId="12" fillId="5" borderId="0" xfId="0" applyNumberFormat="1" applyFont="1" applyFill="1" applyAlignment="1" quotePrefix="1">
      <alignment horizontal="center"/>
    </xf>
    <xf numFmtId="1" fontId="13" fillId="5" borderId="0" xfId="0" applyNumberFormat="1" applyFont="1" applyFill="1" applyAlignment="1" quotePrefix="1">
      <alignment horizontal="right"/>
    </xf>
    <xf numFmtId="194" fontId="12" fillId="5" borderId="19" xfId="0" applyNumberFormat="1" applyFont="1" applyFill="1" applyBorder="1" applyAlignment="1" quotePrefix="1">
      <alignment horizontal="center"/>
    </xf>
    <xf numFmtId="196" fontId="13" fillId="5" borderId="0" xfId="0" applyNumberFormat="1" applyFont="1" applyFill="1" applyAlignment="1" quotePrefix="1">
      <alignment horizontal="left" vertical="center"/>
    </xf>
    <xf numFmtId="14" fontId="13" fillId="5" borderId="0" xfId="0" applyNumberFormat="1" applyFont="1" applyFill="1" applyAlignment="1" quotePrefix="1">
      <alignment horizontal="left" vertical="center"/>
    </xf>
    <xf numFmtId="0" fontId="13" fillId="5" borderId="19" xfId="0" applyFont="1" applyFill="1" applyBorder="1" applyAlignment="1" quotePrefix="1">
      <alignment horizontal="center"/>
    </xf>
    <xf numFmtId="3" fontId="13" fillId="5" borderId="0" xfId="0" applyNumberFormat="1" applyFont="1" applyFill="1" applyAlignment="1" quotePrefix="1">
      <alignment horizontal="center"/>
    </xf>
    <xf numFmtId="196" fontId="13" fillId="5" borderId="0" xfId="0" applyNumberFormat="1" applyFont="1" applyFill="1" applyAlignment="1" quotePrefix="1">
      <alignment horizontal="left"/>
    </xf>
    <xf numFmtId="0" fontId="12" fillId="5" borderId="19" xfId="0" applyFont="1" applyFill="1" applyBorder="1" applyAlignment="1" quotePrefix="1">
      <alignment horizontal="center"/>
    </xf>
    <xf numFmtId="0" fontId="13" fillId="5" borderId="0" xfId="0" applyFont="1" applyFill="1" applyAlignment="1" quotePrefix="1">
      <alignment vertical="center"/>
    </xf>
    <xf numFmtId="194" fontId="12" fillId="8" borderId="19" xfId="0" applyNumberFormat="1" applyFont="1" applyFill="1" applyBorder="1" applyAlignment="1" quotePrefix="1">
      <alignment horizontal="center"/>
    </xf>
    <xf numFmtId="1" fontId="13" fillId="8" borderId="19" xfId="0" applyNumberFormat="1" applyFont="1" applyFill="1" applyBorder="1" applyAlignment="1" quotePrefix="1">
      <alignment horizontal="center"/>
    </xf>
    <xf numFmtId="1" fontId="12" fillId="8" borderId="19" xfId="0" applyNumberFormat="1" applyFont="1" applyFill="1" applyBorder="1" applyAlignment="1" quotePrefix="1">
      <alignment horizontal="center"/>
    </xf>
    <xf numFmtId="1" fontId="12" fillId="8" borderId="0" xfId="0" applyNumberFormat="1" applyFont="1" applyFill="1" applyAlignment="1" quotePrefix="1">
      <alignment horizontal="center"/>
    </xf>
    <xf numFmtId="194" fontId="13" fillId="5" borderId="19" xfId="0" applyNumberFormat="1" applyFont="1" applyFill="1" applyBorder="1" applyAlignment="1" quotePrefix="1">
      <alignment horizontal="center"/>
    </xf>
    <xf numFmtId="196" fontId="13" fillId="5" borderId="0" xfId="1" applyNumberFormat="1" applyFont="1" applyFill="1" applyAlignment="1" quotePrefix="1">
      <alignment horizontal="left" vertical="center"/>
    </xf>
    <xf numFmtId="17" fontId="13" fillId="5" borderId="0" xfId="0" applyNumberFormat="1" applyFont="1" applyFill="1" applyAlignment="1" quotePrefix="1">
      <alignment horizontal="left"/>
    </xf>
  </cellXfs>
  <cellStyles count="60">
    <cellStyle name="常规" xfId="0" builtinId="0"/>
    <cellStyle name="Standard 8" xfId="1"/>
    <cellStyle name="Standard 7 5" xfId="2"/>
    <cellStyle name="Standard 7" xfId="3"/>
    <cellStyle name="Standard 6" xfId="4"/>
    <cellStyle name="Standard 10 2" xfId="5"/>
    <cellStyle name="Prozent 6" xfId="6"/>
    <cellStyle name="Prozent 3" xfId="7"/>
    <cellStyle name="60% - 强调文字颜色 6" xfId="8" builtinId="52"/>
    <cellStyle name="Excel Built-in Normal" xfId="9"/>
    <cellStyle name="20% - 强调文字颜色 4" xfId="10" builtinId="42"/>
    <cellStyle name="强调文字颜色 4" xfId="11" builtinId="41"/>
    <cellStyle name="输入" xfId="12" builtinId="20"/>
    <cellStyle name="40% - 强调文字颜色 3" xfId="13" builtinId="39"/>
    <cellStyle name="Komma 2" xfId="14"/>
    <cellStyle name="20% - 强调文字颜色 3" xfId="15" builtinId="38"/>
    <cellStyle name="货币" xfId="16" builtinId="4"/>
    <cellStyle name="强调文字颜色 3" xfId="17" builtinId="37"/>
    <cellStyle name="Standard 10" xfId="18"/>
    <cellStyle name="百分比" xfId="19" builtinId="5"/>
    <cellStyle name="60% - 强调文字颜色 2" xfId="20" builtinId="36"/>
    <cellStyle name="60% - 强调文字颜色 5" xfId="21" builtinId="48"/>
    <cellStyle name="强调文字颜色 2" xfId="22" builtinId="33"/>
    <cellStyle name="60% - 强调文字颜色 1" xfId="23" builtinId="32"/>
    <cellStyle name="60% - 强调文字颜色 4" xfId="24" builtinId="44"/>
    <cellStyle name="计算" xfId="25" builtinId="22"/>
    <cellStyle name="强调文字颜色 1" xfId="26" builtinId="29"/>
    <cellStyle name="适中" xfId="27" builtinId="28"/>
    <cellStyle name="20% - 强调文字颜色 5" xfId="28" builtinId="46"/>
    <cellStyle name="好" xfId="29" builtinId="26"/>
    <cellStyle name="20% - 强调文字颜色 1" xfId="30" builtinId="30"/>
    <cellStyle name="汇总" xfId="31" builtinId="25"/>
    <cellStyle name="差" xfId="32" builtinId="27"/>
    <cellStyle name="检查单元格" xfId="33" builtinId="23"/>
    <cellStyle name="输出" xfId="34" builtinId="21"/>
    <cellStyle name="标题 1" xfId="35" builtinId="16"/>
    <cellStyle name="解释性文本" xfId="36" builtinId="53"/>
    <cellStyle name="20% - 强调文字颜色 2" xfId="37" builtinId="34"/>
    <cellStyle name="标题 4" xfId="38" builtinId="19"/>
    <cellStyle name="Prozent 2" xfId="39"/>
    <cellStyle name="货币[0]" xfId="40" builtinId="7"/>
    <cellStyle name="40% - 强调文字颜色 4" xfId="41" builtinId="43"/>
    <cellStyle name="千位分隔" xfId="42" builtinId="3"/>
    <cellStyle name="已访问的超链接" xfId="43" builtinId="9"/>
    <cellStyle name="标题" xfId="44" builtinId="15"/>
    <cellStyle name="40% - 强调文字颜色 2" xfId="45" builtinId="35"/>
    <cellStyle name="警告文本" xfId="46" builtinId="11"/>
    <cellStyle name="60% - 强调文字颜色 3" xfId="47" builtinId="40"/>
    <cellStyle name="注释" xfId="48" builtinId="10"/>
    <cellStyle name="20% - 强调文字颜色 6" xfId="49" builtinId="50"/>
    <cellStyle name="强调文字颜色 5" xfId="50" builtinId="45"/>
    <cellStyle name="40% - 强调文字颜色 6" xfId="51" builtinId="51"/>
    <cellStyle name="超链接" xfId="52" builtinId="8"/>
    <cellStyle name="千位分隔[0]" xfId="53" builtinId="6"/>
    <cellStyle name="标题 2" xfId="54" builtinId="17"/>
    <cellStyle name="40% - 强调文字颜色 5" xfId="55" builtinId="47"/>
    <cellStyle name="标题 3" xfId="56" builtinId="18"/>
    <cellStyle name="强调文字颜色 6" xfId="57" builtinId="49"/>
    <cellStyle name="40% - 强调文字颜色 1" xfId="58" builtinId="31"/>
    <cellStyle name="链接单元格" xfId="59" builtinId="24"/>
  </cellStyles>
  <tableStyles count="0" defaultTableStyle="TableStyleMedium2" defaultPivotStyle="PivotStyleLight16"/>
  <colors>
    <mruColors>
      <color rgb="0000F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2" Type="http://schemas.openxmlformats.org/officeDocument/2006/relationships/sharedStrings" Target="sharedStrings.xml"/><Relationship Id="rId291" Type="http://schemas.openxmlformats.org/officeDocument/2006/relationships/styles" Target="styles.xml"/><Relationship Id="rId290" Type="http://schemas.openxmlformats.org/officeDocument/2006/relationships/theme" Target="theme/theme1.xml"/><Relationship Id="rId29" Type="http://schemas.openxmlformats.org/officeDocument/2006/relationships/worksheet" Target="worksheets/sheet29.xml"/><Relationship Id="rId289" Type="http://schemas.openxmlformats.org/officeDocument/2006/relationships/externalLink" Target="externalLinks/externalLink114.xml"/><Relationship Id="rId288" Type="http://schemas.openxmlformats.org/officeDocument/2006/relationships/externalLink" Target="externalLinks/externalLink113.xml"/><Relationship Id="rId287" Type="http://schemas.openxmlformats.org/officeDocument/2006/relationships/externalLink" Target="externalLinks/externalLink112.xml"/><Relationship Id="rId286" Type="http://schemas.openxmlformats.org/officeDocument/2006/relationships/externalLink" Target="externalLinks/externalLink111.xml"/><Relationship Id="rId285" Type="http://schemas.openxmlformats.org/officeDocument/2006/relationships/externalLink" Target="externalLinks/externalLink110.xml"/><Relationship Id="rId284" Type="http://schemas.openxmlformats.org/officeDocument/2006/relationships/externalLink" Target="externalLinks/externalLink109.xml"/><Relationship Id="rId283" Type="http://schemas.openxmlformats.org/officeDocument/2006/relationships/externalLink" Target="externalLinks/externalLink108.xml"/><Relationship Id="rId282" Type="http://schemas.openxmlformats.org/officeDocument/2006/relationships/externalLink" Target="externalLinks/externalLink107.xml"/><Relationship Id="rId281" Type="http://schemas.openxmlformats.org/officeDocument/2006/relationships/externalLink" Target="externalLinks/externalLink106.xml"/><Relationship Id="rId280" Type="http://schemas.openxmlformats.org/officeDocument/2006/relationships/externalLink" Target="externalLinks/externalLink105.xml"/><Relationship Id="rId28" Type="http://schemas.openxmlformats.org/officeDocument/2006/relationships/worksheet" Target="worksheets/sheet28.xml"/><Relationship Id="rId279" Type="http://schemas.openxmlformats.org/officeDocument/2006/relationships/externalLink" Target="externalLinks/externalLink104.xml"/><Relationship Id="rId278" Type="http://schemas.openxmlformats.org/officeDocument/2006/relationships/externalLink" Target="externalLinks/externalLink103.xml"/><Relationship Id="rId277" Type="http://schemas.openxmlformats.org/officeDocument/2006/relationships/externalLink" Target="externalLinks/externalLink102.xml"/><Relationship Id="rId276" Type="http://schemas.openxmlformats.org/officeDocument/2006/relationships/externalLink" Target="externalLinks/externalLink101.xml"/><Relationship Id="rId275" Type="http://schemas.openxmlformats.org/officeDocument/2006/relationships/externalLink" Target="externalLinks/externalLink100.xml"/><Relationship Id="rId274" Type="http://schemas.openxmlformats.org/officeDocument/2006/relationships/externalLink" Target="externalLinks/externalLink99.xml"/><Relationship Id="rId273" Type="http://schemas.openxmlformats.org/officeDocument/2006/relationships/externalLink" Target="externalLinks/externalLink98.xml"/><Relationship Id="rId272" Type="http://schemas.openxmlformats.org/officeDocument/2006/relationships/externalLink" Target="externalLinks/externalLink97.xml"/><Relationship Id="rId271" Type="http://schemas.openxmlformats.org/officeDocument/2006/relationships/externalLink" Target="externalLinks/externalLink96.xml"/><Relationship Id="rId270" Type="http://schemas.openxmlformats.org/officeDocument/2006/relationships/externalLink" Target="externalLinks/externalLink95.xml"/><Relationship Id="rId27" Type="http://schemas.openxmlformats.org/officeDocument/2006/relationships/worksheet" Target="worksheets/sheet27.xml"/><Relationship Id="rId269" Type="http://schemas.openxmlformats.org/officeDocument/2006/relationships/externalLink" Target="externalLinks/externalLink94.xml"/><Relationship Id="rId268" Type="http://schemas.openxmlformats.org/officeDocument/2006/relationships/externalLink" Target="externalLinks/externalLink93.xml"/><Relationship Id="rId267" Type="http://schemas.openxmlformats.org/officeDocument/2006/relationships/externalLink" Target="externalLinks/externalLink92.xml"/><Relationship Id="rId266" Type="http://schemas.openxmlformats.org/officeDocument/2006/relationships/externalLink" Target="externalLinks/externalLink91.xml"/><Relationship Id="rId265" Type="http://schemas.openxmlformats.org/officeDocument/2006/relationships/externalLink" Target="externalLinks/externalLink90.xml"/><Relationship Id="rId264" Type="http://schemas.openxmlformats.org/officeDocument/2006/relationships/externalLink" Target="externalLinks/externalLink89.xml"/><Relationship Id="rId263" Type="http://schemas.openxmlformats.org/officeDocument/2006/relationships/externalLink" Target="externalLinks/externalLink88.xml"/><Relationship Id="rId262" Type="http://schemas.openxmlformats.org/officeDocument/2006/relationships/externalLink" Target="externalLinks/externalLink87.xml"/><Relationship Id="rId261" Type="http://schemas.openxmlformats.org/officeDocument/2006/relationships/externalLink" Target="externalLinks/externalLink86.xml"/><Relationship Id="rId260" Type="http://schemas.openxmlformats.org/officeDocument/2006/relationships/externalLink" Target="externalLinks/externalLink85.xml"/><Relationship Id="rId26" Type="http://schemas.openxmlformats.org/officeDocument/2006/relationships/worksheet" Target="worksheets/sheet26.xml"/><Relationship Id="rId259" Type="http://schemas.openxmlformats.org/officeDocument/2006/relationships/externalLink" Target="externalLinks/externalLink84.xml"/><Relationship Id="rId258" Type="http://schemas.openxmlformats.org/officeDocument/2006/relationships/externalLink" Target="externalLinks/externalLink83.xml"/><Relationship Id="rId257" Type="http://schemas.openxmlformats.org/officeDocument/2006/relationships/externalLink" Target="externalLinks/externalLink82.xml"/><Relationship Id="rId256" Type="http://schemas.openxmlformats.org/officeDocument/2006/relationships/externalLink" Target="externalLinks/externalLink81.xml"/><Relationship Id="rId255" Type="http://schemas.openxmlformats.org/officeDocument/2006/relationships/externalLink" Target="externalLinks/externalLink80.xml"/><Relationship Id="rId254" Type="http://schemas.openxmlformats.org/officeDocument/2006/relationships/externalLink" Target="externalLinks/externalLink79.xml"/><Relationship Id="rId253" Type="http://schemas.openxmlformats.org/officeDocument/2006/relationships/externalLink" Target="externalLinks/externalLink78.xml"/><Relationship Id="rId252" Type="http://schemas.openxmlformats.org/officeDocument/2006/relationships/externalLink" Target="externalLinks/externalLink77.xml"/><Relationship Id="rId251" Type="http://schemas.openxmlformats.org/officeDocument/2006/relationships/externalLink" Target="externalLinks/externalLink76.xml"/><Relationship Id="rId250" Type="http://schemas.openxmlformats.org/officeDocument/2006/relationships/externalLink" Target="externalLinks/externalLink75.xml"/><Relationship Id="rId25" Type="http://schemas.openxmlformats.org/officeDocument/2006/relationships/worksheet" Target="worksheets/sheet25.xml"/><Relationship Id="rId249" Type="http://schemas.openxmlformats.org/officeDocument/2006/relationships/externalLink" Target="externalLinks/externalLink74.xml"/><Relationship Id="rId248" Type="http://schemas.openxmlformats.org/officeDocument/2006/relationships/externalLink" Target="externalLinks/externalLink73.xml"/><Relationship Id="rId247" Type="http://schemas.openxmlformats.org/officeDocument/2006/relationships/externalLink" Target="externalLinks/externalLink72.xml"/><Relationship Id="rId246" Type="http://schemas.openxmlformats.org/officeDocument/2006/relationships/externalLink" Target="externalLinks/externalLink71.xml"/><Relationship Id="rId245" Type="http://schemas.openxmlformats.org/officeDocument/2006/relationships/externalLink" Target="externalLinks/externalLink70.xml"/><Relationship Id="rId244" Type="http://schemas.openxmlformats.org/officeDocument/2006/relationships/externalLink" Target="externalLinks/externalLink69.xml"/><Relationship Id="rId243" Type="http://schemas.openxmlformats.org/officeDocument/2006/relationships/externalLink" Target="externalLinks/externalLink68.xml"/><Relationship Id="rId242" Type="http://schemas.openxmlformats.org/officeDocument/2006/relationships/externalLink" Target="externalLinks/externalLink67.xml"/><Relationship Id="rId241" Type="http://schemas.openxmlformats.org/officeDocument/2006/relationships/externalLink" Target="externalLinks/externalLink66.xml"/><Relationship Id="rId240" Type="http://schemas.openxmlformats.org/officeDocument/2006/relationships/externalLink" Target="externalLinks/externalLink65.xml"/><Relationship Id="rId24" Type="http://schemas.openxmlformats.org/officeDocument/2006/relationships/worksheet" Target="worksheets/sheet24.xml"/><Relationship Id="rId239" Type="http://schemas.openxmlformats.org/officeDocument/2006/relationships/externalLink" Target="externalLinks/externalLink64.xml"/><Relationship Id="rId238" Type="http://schemas.openxmlformats.org/officeDocument/2006/relationships/externalLink" Target="externalLinks/externalLink63.xml"/><Relationship Id="rId237" Type="http://schemas.openxmlformats.org/officeDocument/2006/relationships/externalLink" Target="externalLinks/externalLink62.xml"/><Relationship Id="rId236" Type="http://schemas.openxmlformats.org/officeDocument/2006/relationships/externalLink" Target="externalLinks/externalLink61.xml"/><Relationship Id="rId235" Type="http://schemas.openxmlformats.org/officeDocument/2006/relationships/externalLink" Target="externalLinks/externalLink60.xml"/><Relationship Id="rId234" Type="http://schemas.openxmlformats.org/officeDocument/2006/relationships/externalLink" Target="externalLinks/externalLink59.xml"/><Relationship Id="rId233" Type="http://schemas.openxmlformats.org/officeDocument/2006/relationships/externalLink" Target="externalLinks/externalLink58.xml"/><Relationship Id="rId232" Type="http://schemas.openxmlformats.org/officeDocument/2006/relationships/externalLink" Target="externalLinks/externalLink57.xml"/><Relationship Id="rId231" Type="http://schemas.openxmlformats.org/officeDocument/2006/relationships/externalLink" Target="externalLinks/externalLink56.xml"/><Relationship Id="rId230" Type="http://schemas.openxmlformats.org/officeDocument/2006/relationships/externalLink" Target="externalLinks/externalLink55.xml"/><Relationship Id="rId23" Type="http://schemas.openxmlformats.org/officeDocument/2006/relationships/worksheet" Target="worksheets/sheet23.xml"/><Relationship Id="rId229" Type="http://schemas.openxmlformats.org/officeDocument/2006/relationships/externalLink" Target="externalLinks/externalLink54.xml"/><Relationship Id="rId228" Type="http://schemas.openxmlformats.org/officeDocument/2006/relationships/externalLink" Target="externalLinks/externalLink53.xml"/><Relationship Id="rId227" Type="http://schemas.openxmlformats.org/officeDocument/2006/relationships/externalLink" Target="externalLinks/externalLink52.xml"/><Relationship Id="rId226" Type="http://schemas.openxmlformats.org/officeDocument/2006/relationships/externalLink" Target="externalLinks/externalLink51.xml"/><Relationship Id="rId225" Type="http://schemas.openxmlformats.org/officeDocument/2006/relationships/externalLink" Target="externalLinks/externalLink50.xml"/><Relationship Id="rId224" Type="http://schemas.openxmlformats.org/officeDocument/2006/relationships/externalLink" Target="externalLinks/externalLink49.xml"/><Relationship Id="rId223" Type="http://schemas.openxmlformats.org/officeDocument/2006/relationships/externalLink" Target="externalLinks/externalLink48.xml"/><Relationship Id="rId222" Type="http://schemas.openxmlformats.org/officeDocument/2006/relationships/externalLink" Target="externalLinks/externalLink47.xml"/><Relationship Id="rId221" Type="http://schemas.openxmlformats.org/officeDocument/2006/relationships/externalLink" Target="externalLinks/externalLink46.xml"/><Relationship Id="rId220" Type="http://schemas.openxmlformats.org/officeDocument/2006/relationships/externalLink" Target="externalLinks/externalLink45.xml"/><Relationship Id="rId22" Type="http://schemas.openxmlformats.org/officeDocument/2006/relationships/worksheet" Target="worksheets/sheet22.xml"/><Relationship Id="rId219" Type="http://schemas.openxmlformats.org/officeDocument/2006/relationships/externalLink" Target="externalLinks/externalLink44.xml"/><Relationship Id="rId218" Type="http://schemas.openxmlformats.org/officeDocument/2006/relationships/externalLink" Target="externalLinks/externalLink43.xml"/><Relationship Id="rId217" Type="http://schemas.openxmlformats.org/officeDocument/2006/relationships/externalLink" Target="externalLinks/externalLink42.xml"/><Relationship Id="rId216" Type="http://schemas.openxmlformats.org/officeDocument/2006/relationships/externalLink" Target="externalLinks/externalLink41.xml"/><Relationship Id="rId215" Type="http://schemas.openxmlformats.org/officeDocument/2006/relationships/externalLink" Target="externalLinks/externalLink40.xml"/><Relationship Id="rId214" Type="http://schemas.openxmlformats.org/officeDocument/2006/relationships/externalLink" Target="externalLinks/externalLink39.xml"/><Relationship Id="rId213" Type="http://schemas.openxmlformats.org/officeDocument/2006/relationships/externalLink" Target="externalLinks/externalLink38.xml"/><Relationship Id="rId212" Type="http://schemas.openxmlformats.org/officeDocument/2006/relationships/externalLink" Target="externalLinks/externalLink37.xml"/><Relationship Id="rId211" Type="http://schemas.openxmlformats.org/officeDocument/2006/relationships/externalLink" Target="externalLinks/externalLink36.xml"/><Relationship Id="rId210" Type="http://schemas.openxmlformats.org/officeDocument/2006/relationships/externalLink" Target="externalLinks/externalLink35.xml"/><Relationship Id="rId21" Type="http://schemas.openxmlformats.org/officeDocument/2006/relationships/worksheet" Target="worksheets/sheet21.xml"/><Relationship Id="rId209" Type="http://schemas.openxmlformats.org/officeDocument/2006/relationships/externalLink" Target="externalLinks/externalLink34.xml"/><Relationship Id="rId208" Type="http://schemas.openxmlformats.org/officeDocument/2006/relationships/externalLink" Target="externalLinks/externalLink33.xml"/><Relationship Id="rId207" Type="http://schemas.openxmlformats.org/officeDocument/2006/relationships/externalLink" Target="externalLinks/externalLink32.xml"/><Relationship Id="rId206" Type="http://schemas.openxmlformats.org/officeDocument/2006/relationships/externalLink" Target="externalLinks/externalLink31.xml"/><Relationship Id="rId205" Type="http://schemas.openxmlformats.org/officeDocument/2006/relationships/externalLink" Target="externalLinks/externalLink30.xml"/><Relationship Id="rId204" Type="http://schemas.openxmlformats.org/officeDocument/2006/relationships/externalLink" Target="externalLinks/externalLink29.xml"/><Relationship Id="rId203" Type="http://schemas.openxmlformats.org/officeDocument/2006/relationships/externalLink" Target="externalLinks/externalLink28.xml"/><Relationship Id="rId202" Type="http://schemas.openxmlformats.org/officeDocument/2006/relationships/externalLink" Target="externalLinks/externalLink27.xml"/><Relationship Id="rId201" Type="http://schemas.openxmlformats.org/officeDocument/2006/relationships/externalLink" Target="externalLinks/externalLink26.xml"/><Relationship Id="rId200" Type="http://schemas.openxmlformats.org/officeDocument/2006/relationships/externalLink" Target="externalLinks/externalLink25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externalLink" Target="externalLinks/externalLink24.xml"/><Relationship Id="rId198" Type="http://schemas.openxmlformats.org/officeDocument/2006/relationships/externalLink" Target="externalLinks/externalLink23.xml"/><Relationship Id="rId197" Type="http://schemas.openxmlformats.org/officeDocument/2006/relationships/externalLink" Target="externalLinks/externalLink22.xml"/><Relationship Id="rId196" Type="http://schemas.openxmlformats.org/officeDocument/2006/relationships/externalLink" Target="externalLinks/externalLink21.xml"/><Relationship Id="rId195" Type="http://schemas.openxmlformats.org/officeDocument/2006/relationships/externalLink" Target="externalLinks/externalLink20.xml"/><Relationship Id="rId194" Type="http://schemas.openxmlformats.org/officeDocument/2006/relationships/externalLink" Target="externalLinks/externalLink19.xml"/><Relationship Id="rId193" Type="http://schemas.openxmlformats.org/officeDocument/2006/relationships/externalLink" Target="externalLinks/externalLink18.xml"/><Relationship Id="rId192" Type="http://schemas.openxmlformats.org/officeDocument/2006/relationships/externalLink" Target="externalLinks/externalLink17.xml"/><Relationship Id="rId191" Type="http://schemas.openxmlformats.org/officeDocument/2006/relationships/externalLink" Target="externalLinks/externalLink16.xml"/><Relationship Id="rId190" Type="http://schemas.openxmlformats.org/officeDocument/2006/relationships/externalLink" Target="externalLinks/externalLink15.xml"/><Relationship Id="rId19" Type="http://schemas.openxmlformats.org/officeDocument/2006/relationships/worksheet" Target="worksheets/sheet19.xml"/><Relationship Id="rId189" Type="http://schemas.openxmlformats.org/officeDocument/2006/relationships/externalLink" Target="externalLinks/externalLink14.xml"/><Relationship Id="rId188" Type="http://schemas.openxmlformats.org/officeDocument/2006/relationships/externalLink" Target="externalLinks/externalLink13.xml"/><Relationship Id="rId187" Type="http://schemas.openxmlformats.org/officeDocument/2006/relationships/externalLink" Target="externalLinks/externalLink12.xml"/><Relationship Id="rId186" Type="http://schemas.openxmlformats.org/officeDocument/2006/relationships/externalLink" Target="externalLinks/externalLink11.xml"/><Relationship Id="rId185" Type="http://schemas.openxmlformats.org/officeDocument/2006/relationships/externalLink" Target="externalLinks/externalLink10.xml"/><Relationship Id="rId184" Type="http://schemas.openxmlformats.org/officeDocument/2006/relationships/externalLink" Target="externalLinks/externalLink9.xml"/><Relationship Id="rId183" Type="http://schemas.openxmlformats.org/officeDocument/2006/relationships/externalLink" Target="externalLinks/externalLink8.xml"/><Relationship Id="rId182" Type="http://schemas.openxmlformats.org/officeDocument/2006/relationships/externalLink" Target="externalLinks/externalLink7.xml"/><Relationship Id="rId181" Type="http://schemas.openxmlformats.org/officeDocument/2006/relationships/externalLink" Target="externalLinks/externalLink6.xml"/><Relationship Id="rId180" Type="http://schemas.openxmlformats.org/officeDocument/2006/relationships/externalLink" Target="externalLinks/externalLink5.xml"/><Relationship Id="rId18" Type="http://schemas.openxmlformats.org/officeDocument/2006/relationships/worksheet" Target="worksheets/sheet18.xml"/><Relationship Id="rId179" Type="http://schemas.openxmlformats.org/officeDocument/2006/relationships/externalLink" Target="externalLinks/externalLink4.xml"/><Relationship Id="rId178" Type="http://schemas.openxmlformats.org/officeDocument/2006/relationships/externalLink" Target="externalLinks/externalLink3.xml"/><Relationship Id="rId177" Type="http://schemas.openxmlformats.org/officeDocument/2006/relationships/externalLink" Target="externalLinks/externalLink2.xml"/><Relationship Id="rId176" Type="http://schemas.openxmlformats.org/officeDocument/2006/relationships/externalLink" Target="externalLinks/externalLink1.xml"/><Relationship Id="rId175" Type="http://schemas.openxmlformats.org/officeDocument/2006/relationships/customXml" Target="../customXml/item3.xml"/><Relationship Id="rId174" Type="http://schemas.openxmlformats.org/officeDocument/2006/relationships/customXml" Target="../customXml/item2.xml"/><Relationship Id="rId173" Type="http://schemas.openxmlformats.org/officeDocument/2006/relationships/customXml" Target="../customXml/item1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1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27.xml.rels><?xml version="1.0" encoding="UTF-8" standalone="yes"?>
<Relationships xmlns="http://schemas.openxmlformats.org/package/2006/relationships"><Relationship Id="rId3" Type="http://schemas.microsoft.com/office/2011/relationships/chartColorStyle" Target="colors17.xml"/><Relationship Id="rId2" Type="http://schemas.microsoft.com/office/2011/relationships/chartStyle" Target="style17.xml"/><Relationship Id="rId1" Type="http://schemas.openxmlformats.org/officeDocument/2006/relationships/themeOverride" Target="../theme/themeOverride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4.xml"/></Relationships>
</file>

<file path=xl/charts/_rels/chart30.xml.rels><?xml version="1.0" encoding="UTF-8" standalone="yes"?>
<Relationships xmlns="http://schemas.openxmlformats.org/package/2006/relationships"><Relationship Id="rId3" Type="http://schemas.microsoft.com/office/2011/relationships/chartColorStyle" Target="colors19.xml"/><Relationship Id="rId2" Type="http://schemas.microsoft.com/office/2011/relationships/chartStyle" Target="style19.xml"/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3" Type="http://schemas.microsoft.com/office/2011/relationships/chartColorStyle" Target="colors20.xml"/><Relationship Id="rId2" Type="http://schemas.microsoft.com/office/2011/relationships/chartStyle" Target="style20.xml"/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3" Type="http://schemas.microsoft.com/office/2011/relationships/chartColorStyle" Target="colors21.xml"/><Relationship Id="rId2" Type="http://schemas.microsoft.com/office/2011/relationships/chartStyle" Target="style21.xml"/><Relationship Id="rId1" Type="http://schemas.openxmlformats.org/officeDocument/2006/relationships/themeOverride" Target="../theme/themeOverride8.xml"/></Relationships>
</file>

<file path=xl/charts/_rels/chart34.xml.rels><?xml version="1.0" encoding="UTF-8" standalone="yes"?>
<Relationships xmlns="http://schemas.openxmlformats.org/package/2006/relationships"><Relationship Id="rId3" Type="http://schemas.microsoft.com/office/2011/relationships/chartColorStyle" Target="colors22.xml"/><Relationship Id="rId2" Type="http://schemas.microsoft.com/office/2011/relationships/chartStyle" Target="style22.xml"/><Relationship Id="rId1" Type="http://schemas.openxmlformats.org/officeDocument/2006/relationships/themeOverride" Target="../theme/themeOverride9.xml"/></Relationships>
</file>

<file path=xl/charts/_rels/chart35.xml.rels><?xml version="1.0" encoding="UTF-8" standalone="yes"?>
<Relationships xmlns="http://schemas.openxmlformats.org/package/2006/relationships"><Relationship Id="rId3" Type="http://schemas.microsoft.com/office/2011/relationships/chartColorStyle" Target="colors23.xml"/><Relationship Id="rId2" Type="http://schemas.microsoft.com/office/2011/relationships/chartStyle" Target="style23.xml"/><Relationship Id="rId1" Type="http://schemas.openxmlformats.org/officeDocument/2006/relationships/themeOverride" Target="../theme/themeOverride10.xml"/></Relationships>
</file>

<file path=xl/charts/_rels/chart3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8.xml"/><Relationship Id="rId1" Type="http://schemas.openxmlformats.org/officeDocument/2006/relationships/themeOverride" Target="../theme/themeOverride11.xml"/></Relationships>
</file>

<file path=xl/charts/_rels/chart37.xml.rels><?xml version="1.0" encoding="UTF-8" standalone="yes"?>
<Relationships xmlns="http://schemas.openxmlformats.org/package/2006/relationships"><Relationship Id="rId3" Type="http://schemas.microsoft.com/office/2011/relationships/chartColorStyle" Target="colors24.xml"/><Relationship Id="rId2" Type="http://schemas.microsoft.com/office/2011/relationships/chartStyle" Target="style24.xml"/><Relationship Id="rId1" Type="http://schemas.openxmlformats.org/officeDocument/2006/relationships/themeOverride" Target="../theme/themeOverride12.xml"/></Relationships>
</file>

<file path=xl/charts/_rels/chart38.xml.rels><?xml version="1.0" encoding="UTF-8" standalone="yes"?>
<Relationships xmlns="http://schemas.openxmlformats.org/package/2006/relationships"><Relationship Id="rId3" Type="http://schemas.microsoft.com/office/2011/relationships/chartColorStyle" Target="colors25.xml"/><Relationship Id="rId2" Type="http://schemas.microsoft.com/office/2011/relationships/chartStyle" Target="style25.xml"/><Relationship Id="rId1" Type="http://schemas.openxmlformats.org/officeDocument/2006/relationships/themeOverride" Target="../theme/themeOverride13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40.xml.rels><?xml version="1.0" encoding="UTF-8" standalone="yes"?>
<Relationships xmlns="http://schemas.openxmlformats.org/package/2006/relationships"><Relationship Id="rId3" Type="http://schemas.microsoft.com/office/2011/relationships/chartColorStyle" Target="colors26.xml"/><Relationship Id="rId2" Type="http://schemas.microsoft.com/office/2011/relationships/chartStyle" Target="style26.xml"/><Relationship Id="rId1" Type="http://schemas.openxmlformats.org/officeDocument/2006/relationships/themeOverride" Target="../theme/themeOverride15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5.xml.rels><?xml version="1.0" encoding="UTF-8" standalone="yes"?>
<Relationships xmlns="http://schemas.openxmlformats.org/package/2006/relationships"><Relationship Id="rId3" Type="http://schemas.microsoft.com/office/2011/relationships/chartColorStyle" Target="colors29.xml"/><Relationship Id="rId2" Type="http://schemas.microsoft.com/office/2011/relationships/chartStyle" Target="style29.xml"/><Relationship Id="rId1" Type="http://schemas.openxmlformats.org/officeDocument/2006/relationships/themeOverride" Target="../theme/themeOverride1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9.xml.rels><?xml version="1.0" encoding="UTF-8" standalone="yes"?>
<Relationships xmlns="http://schemas.openxmlformats.org/package/2006/relationships"><Relationship Id="rId3" Type="http://schemas.microsoft.com/office/2011/relationships/chartColorStyle" Target="colors31.xml"/><Relationship Id="rId2" Type="http://schemas.microsoft.com/office/2011/relationships/chartStyle" Target="style31.xml"/><Relationship Id="rId1" Type="http://schemas.openxmlformats.org/officeDocument/2006/relationships/themeOverride" Target="../theme/themeOverride17.xml"/></Relationships>
</file>

<file path=xl/charts/_rels/chart50.xml.rels><?xml version="1.0" encoding="UTF-8" standalone="yes"?>
<Relationships xmlns="http://schemas.openxmlformats.org/package/2006/relationships"><Relationship Id="rId3" Type="http://schemas.microsoft.com/office/2011/relationships/chartColorStyle" Target="colors32.xml"/><Relationship Id="rId2" Type="http://schemas.microsoft.com/office/2011/relationships/chartStyle" Target="style32.xml"/><Relationship Id="rId1" Type="http://schemas.openxmlformats.org/officeDocument/2006/relationships/themeOverride" Target="../theme/themeOverride18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3.xml.rels><?xml version="1.0" encoding="UTF-8" standalone="yes"?>
<Relationships xmlns="http://schemas.openxmlformats.org/package/2006/relationships"><Relationship Id="rId3" Type="http://schemas.microsoft.com/office/2011/relationships/chartColorStyle" Target="colors34.xml"/><Relationship Id="rId2" Type="http://schemas.microsoft.com/office/2011/relationships/chartStyle" Target="style34.xml"/><Relationship Id="rId1" Type="http://schemas.openxmlformats.org/officeDocument/2006/relationships/themeOverride" Target="../theme/themeOverride19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6.xml.rels><?xml version="1.0" encoding="UTF-8" standalone="yes"?>
<Relationships xmlns="http://schemas.openxmlformats.org/package/2006/relationships"><Relationship Id="rId3" Type="http://schemas.microsoft.com/office/2011/relationships/chartColorStyle" Target="colors36.xml"/><Relationship Id="rId2" Type="http://schemas.microsoft.com/office/2011/relationships/chartStyle" Target="style36.xml"/><Relationship Id="rId1" Type="http://schemas.openxmlformats.org/officeDocument/2006/relationships/themeOverride" Target="../theme/themeOverride2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12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2.xml"/><Relationship Id="rId1" Type="http://schemas.openxmlformats.org/officeDocument/2006/relationships/themeOverride" Target="../theme/themeOverride21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128.xml.rels><?xml version="1.0" encoding="UTF-8" standalone="yes"?>
<Relationships xmlns="http://schemas.openxmlformats.org/package/2006/relationships"><Relationship Id="rId3" Type="http://schemas.microsoft.com/office/2011/relationships/chartColorStyle" Target="colors80.xml"/><Relationship Id="rId2" Type="http://schemas.microsoft.com/office/2011/relationships/chartStyle" Target="style80.xml"/><Relationship Id="rId1" Type="http://schemas.openxmlformats.org/officeDocument/2006/relationships/themeOverride" Target="../theme/themeOverride23.xml"/></Relationships>
</file>

<file path=xl/charts/_rels/chart129.xml.rels><?xml version="1.0" encoding="UTF-8" standalone="yes"?>
<Relationships xmlns="http://schemas.openxmlformats.org/package/2006/relationships"><Relationship Id="rId3" Type="http://schemas.microsoft.com/office/2011/relationships/chartColorStyle" Target="colors81.xml"/><Relationship Id="rId2" Type="http://schemas.microsoft.com/office/2011/relationships/chartStyle" Target="style81.xml"/><Relationship Id="rId1" Type="http://schemas.openxmlformats.org/officeDocument/2006/relationships/themeOverride" Target="../theme/themeOverride24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132.xml.rels><?xml version="1.0" encoding="UTF-8" standalone="yes"?>
<Relationships xmlns="http://schemas.openxmlformats.org/package/2006/relationships"><Relationship Id="rId3" Type="http://schemas.microsoft.com/office/2011/relationships/chartColorStyle" Target="colors83.xml"/><Relationship Id="rId2" Type="http://schemas.microsoft.com/office/2011/relationships/chartStyle" Target="style83.xml"/><Relationship Id="rId1" Type="http://schemas.openxmlformats.org/officeDocument/2006/relationships/themeOverride" Target="../theme/themeOverride25.xml"/></Relationships>
</file>

<file path=xl/charts/_rels/chart13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6.xml"/><Relationship Id="rId1" Type="http://schemas.openxmlformats.org/officeDocument/2006/relationships/themeOverride" Target="../theme/themeOverride26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135.xml.rels><?xml version="1.0" encoding="UTF-8" standalone="yes"?>
<Relationships xmlns="http://schemas.openxmlformats.org/package/2006/relationships"><Relationship Id="rId3" Type="http://schemas.microsoft.com/office/2011/relationships/chartColorStyle" Target="colors84.xml"/><Relationship Id="rId2" Type="http://schemas.microsoft.com/office/2011/relationships/chartStyle" Target="style84.xml"/><Relationship Id="rId1" Type="http://schemas.openxmlformats.org/officeDocument/2006/relationships/themeOverride" Target="../theme/themeOverride28.xml"/></Relationships>
</file>

<file path=xl/charts/_rels/chart136.xml.rels><?xml version="1.0" encoding="UTF-8" standalone="yes"?>
<Relationships xmlns="http://schemas.openxmlformats.org/package/2006/relationships"><Relationship Id="rId3" Type="http://schemas.microsoft.com/office/2011/relationships/chartColorStyle" Target="colors85.xml"/><Relationship Id="rId2" Type="http://schemas.microsoft.com/office/2011/relationships/chartStyle" Target="style85.xml"/><Relationship Id="rId1" Type="http://schemas.openxmlformats.org/officeDocument/2006/relationships/themeOverride" Target="../theme/themeOverride29.xml"/></Relationships>
</file>

<file path=xl/charts/_rels/chart13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8.xml"/><Relationship Id="rId1" Type="http://schemas.openxmlformats.org/officeDocument/2006/relationships/themeOverride" Target="../theme/themeOverride30.xml"/></Relationships>
</file>

<file path=xl/charts/_rels/chart138.xml.rels><?xml version="1.0" encoding="UTF-8" standalone="yes"?>
<Relationships xmlns="http://schemas.openxmlformats.org/package/2006/relationships"><Relationship Id="rId3" Type="http://schemas.microsoft.com/office/2011/relationships/chartColorStyle" Target="colors86.xml"/><Relationship Id="rId2" Type="http://schemas.microsoft.com/office/2011/relationships/chartStyle" Target="style86.xml"/><Relationship Id="rId1" Type="http://schemas.openxmlformats.org/officeDocument/2006/relationships/themeOverride" Target="../theme/themeOverride31.xml"/></Relationships>
</file>

<file path=xl/charts/_rels/chart139.xml.rels><?xml version="1.0" encoding="UTF-8" standalone="yes"?>
<Relationships xmlns="http://schemas.openxmlformats.org/package/2006/relationships"><Relationship Id="rId3" Type="http://schemas.microsoft.com/office/2011/relationships/chartColorStyle" Target="colors87.xml"/><Relationship Id="rId2" Type="http://schemas.microsoft.com/office/2011/relationships/chartStyle" Target="style87.xml"/><Relationship Id="rId1" Type="http://schemas.openxmlformats.org/officeDocument/2006/relationships/themeOverride" Target="../theme/themeOverride32.xml"/></Relationships>
</file>

<file path=xl/charts/_rels/chart14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0.xml"/><Relationship Id="rId1" Type="http://schemas.openxmlformats.org/officeDocument/2006/relationships/themeOverride" Target="../theme/themeOverride33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142.xml.rels><?xml version="1.0" encoding="UTF-8" standalone="yes"?>
<Relationships xmlns="http://schemas.openxmlformats.org/package/2006/relationships"><Relationship Id="rId3" Type="http://schemas.microsoft.com/office/2011/relationships/chartColorStyle" Target="colors88.xml"/><Relationship Id="rId2" Type="http://schemas.microsoft.com/office/2011/relationships/chartStyle" Target="style88.xml"/><Relationship Id="rId1" Type="http://schemas.openxmlformats.org/officeDocument/2006/relationships/themeOverride" Target="../theme/themeOverride35.xml"/></Relationships>
</file>

<file path=xl/charts/_rels/chart143.xml.rels><?xml version="1.0" encoding="UTF-8" standalone="yes"?>
<Relationships xmlns="http://schemas.openxmlformats.org/package/2006/relationships"><Relationship Id="rId3" Type="http://schemas.microsoft.com/office/2011/relationships/chartColorStyle" Target="colors89.xml"/><Relationship Id="rId2" Type="http://schemas.microsoft.com/office/2011/relationships/chartStyle" Target="style89.xml"/><Relationship Id="rId1" Type="http://schemas.openxmlformats.org/officeDocument/2006/relationships/themeOverride" Target="../theme/themeOverride36.xml"/></Relationships>
</file>

<file path=xl/charts/_rels/chart14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2.xml"/><Relationship Id="rId1" Type="http://schemas.openxmlformats.org/officeDocument/2006/relationships/themeOverride" Target="../theme/themeOverride37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146.xml.rels><?xml version="1.0" encoding="UTF-8" standalone="yes"?>
<Relationships xmlns="http://schemas.openxmlformats.org/package/2006/relationships"><Relationship Id="rId3" Type="http://schemas.microsoft.com/office/2011/relationships/chartColorStyle" Target="colors90.xml"/><Relationship Id="rId2" Type="http://schemas.microsoft.com/office/2011/relationships/chartStyle" Target="style90.xml"/><Relationship Id="rId1" Type="http://schemas.openxmlformats.org/officeDocument/2006/relationships/themeOverride" Target="../theme/themeOverride39.xml"/></Relationships>
</file>

<file path=xl/charts/_rels/chart147.xml.rels><?xml version="1.0" encoding="UTF-8" standalone="yes"?>
<Relationships xmlns="http://schemas.openxmlformats.org/package/2006/relationships"><Relationship Id="rId3" Type="http://schemas.microsoft.com/office/2011/relationships/chartColorStyle" Target="colors91.xml"/><Relationship Id="rId2" Type="http://schemas.microsoft.com/office/2011/relationships/chartStyle" Target="style91.xml"/><Relationship Id="rId1" Type="http://schemas.openxmlformats.org/officeDocument/2006/relationships/themeOverride" Target="../theme/themeOverride40.xml"/></Relationships>
</file>

<file path=xl/charts/_rels/chart148.xml.rels><?xml version="1.0" encoding="UTF-8" standalone="yes"?>
<Relationships xmlns="http://schemas.openxmlformats.org/package/2006/relationships"><Relationship Id="rId3" Type="http://schemas.microsoft.com/office/2011/relationships/chartColorStyle" Target="colors92.xml"/><Relationship Id="rId2" Type="http://schemas.microsoft.com/office/2011/relationships/chartStyle" Target="style92.xml"/><Relationship Id="rId1" Type="http://schemas.openxmlformats.org/officeDocument/2006/relationships/themeOverride" Target="../theme/themeOverride41.xml"/></Relationships>
</file>

<file path=xl/charts/_rels/chart14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4.xml"/><Relationship Id="rId1" Type="http://schemas.openxmlformats.org/officeDocument/2006/relationships/themeOverride" Target="../theme/themeOverride42.xml"/></Relationships>
</file>

<file path=xl/charts/_rels/chart150.xml.rels><?xml version="1.0" encoding="UTF-8" standalone="yes"?>
<Relationships xmlns="http://schemas.openxmlformats.org/package/2006/relationships"><Relationship Id="rId3" Type="http://schemas.microsoft.com/office/2011/relationships/chartColorStyle" Target="colors93.xml"/><Relationship Id="rId2" Type="http://schemas.microsoft.com/office/2011/relationships/chartStyle" Target="style93.xml"/><Relationship Id="rId1" Type="http://schemas.openxmlformats.org/officeDocument/2006/relationships/themeOverride" Target="../theme/themeOverride43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1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160664315879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'BGA 01_Diagrams'!$F$2</c:f>
              <c:strCache>
                <c:ptCount val="1"/>
                <c:pt idx="0">
                  <c:v>Corn whole plant 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val>
            <c:numRef>
              <c:f>'BGA 01_Diagrams'!$F$4:$F$15</c:f>
              <c:numCache>
                <c:formatCode>0.00</c:formatCode>
                <c:ptCount val="12"/>
                <c:pt idx="0">
                  <c:v>46.7297552062089</c:v>
                </c:pt>
                <c:pt idx="1">
                  <c:v>65.6013688795082</c:v>
                </c:pt>
                <c:pt idx="2">
                  <c:v>73.2641083521445</c:v>
                </c:pt>
                <c:pt idx="3">
                  <c:v>74.9916163648558</c:v>
                </c:pt>
                <c:pt idx="4">
                  <c:v>76.3762938536228</c:v>
                </c:pt>
                <c:pt idx="5">
                  <c:v>82.3694984646878</c:v>
                </c:pt>
                <c:pt idx="6">
                  <c:v>75.8796174431868</c:v>
                </c:pt>
                <c:pt idx="7">
                  <c:v>98.577449947313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88.1130623443008</c:v>
                </c:pt>
              </c:numCache>
            </c:numRef>
          </c:val>
        </c:ser>
        <c:ser>
          <c:idx val="2"/>
          <c:order val="2"/>
          <c:tx>
            <c:strRef>
              <c:f>'BGA 01_Diagrams'!$H$2</c:f>
              <c:strCache>
                <c:ptCount val="1"/>
                <c:pt idx="0">
                  <c:v>sugar beets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val>
            <c:numRef>
              <c:f>'BGA 01_Diagrams'!$H$4:$H$15</c:f>
              <c:numCache>
                <c:formatCode>0.00</c:formatCode>
                <c:ptCount val="12"/>
                <c:pt idx="0">
                  <c:v>9.88464247387941</c:v>
                </c:pt>
                <c:pt idx="1">
                  <c:v>9.43433936385527</c:v>
                </c:pt>
                <c:pt idx="2">
                  <c:v>10.6907449209932</c:v>
                </c:pt>
                <c:pt idx="3">
                  <c:v>9.46512407780013</c:v>
                </c:pt>
                <c:pt idx="4">
                  <c:v>11.8530731886049</c:v>
                </c:pt>
                <c:pt idx="5">
                  <c:v>9.48481746844081</c:v>
                </c:pt>
                <c:pt idx="6">
                  <c:v>13.0911643414934</c:v>
                </c:pt>
                <c:pt idx="7">
                  <c:v>1.42255005268704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'BGA 01_Diagrams'!$R$2</c:f>
              <c:strCache>
                <c:ptCount val="1"/>
                <c:pt idx="0">
                  <c:v>Whole-plant rye silage</c:v>
                </c:pt>
              </c:strCache>
            </c:strRef>
          </c:tx>
          <c:invertIfNegative val="0"/>
          <c:dLbls>
            <c:delete val="1"/>
          </c:dLbls>
          <c:val>
            <c:numRef>
              <c:f>'BGA 01_Diagrams'!$R$4:$R$15</c:f>
              <c:numCache>
                <c:formatCode>0.00</c:formatCode>
                <c:ptCount val="12"/>
                <c:pt idx="0">
                  <c:v>25.4669827929644</c:v>
                </c:pt>
                <c:pt idx="1">
                  <c:v>17.4311470910647</c:v>
                </c:pt>
                <c:pt idx="2">
                  <c:v>16.0451467268623</c:v>
                </c:pt>
                <c:pt idx="3">
                  <c:v>15.5432595573441</c:v>
                </c:pt>
                <c:pt idx="4">
                  <c:v>11.7706329577723</c:v>
                </c:pt>
                <c:pt idx="5">
                  <c:v>8.14568406687137</c:v>
                </c:pt>
                <c:pt idx="6">
                  <c:v>11.0292182153198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5.94602215693776</c:v>
                </c:pt>
              </c:numCache>
            </c:numRef>
          </c:val>
        </c:ser>
        <c:ser>
          <c:idx val="13"/>
          <c:order val="13"/>
          <c:tx>
            <c:strRef>
              <c:f>'BGA 01_Diagrams'!$S$2</c:f>
              <c:strCache>
                <c:ptCount val="1"/>
                <c:pt idx="0">
                  <c:v>Rye Grain and Cereal Grain</c:v>
                </c:pt>
              </c:strCache>
            </c:strRef>
          </c:tx>
          <c:invertIfNegative val="0"/>
          <c:dLbls>
            <c:delete val="1"/>
          </c:dLbls>
          <c:val>
            <c:numRef>
              <c:f>'BGA 01_Diagrams'!$S$4:$S$15</c:f>
              <c:numCache>
                <c:formatCode>0.00</c:formatCode>
                <c:ptCount val="12"/>
                <c:pt idx="0">
                  <c:v>17.9186195269472</c:v>
                </c:pt>
                <c:pt idx="1">
                  <c:v>7.5331446655718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4"/>
          <c:order val="14"/>
          <c:tx>
            <c:strRef>
              <c:f>'BGA 01_Diagrams'!$T$2</c:f>
              <c:strCache>
                <c:ptCount val="1"/>
                <c:pt idx="0">
                  <c:v>barley grain and cereal grain</c:v>
                </c:pt>
              </c:strCache>
            </c:strRef>
          </c:tx>
          <c:invertIfNegative val="0"/>
          <c:dLbls>
            <c:delete val="1"/>
          </c:dLbls>
          <c:val>
            <c:numRef>
              <c:f>'BGA 01_Diagrams'!$T$4:$T$15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5.94091549876143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5056640"/>
        <c:axId val="24505856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'BGA 01_Diagrams'!$G$2</c15:sqref>
                        </c15:formulaRef>
                      </c:ext>
                    </c:extLst>
                    <c:strCache>
                      <c:ptCount val="1"/>
                      <c:pt idx="0">
                        <c:v>Oat grain and cereal grain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01_Diagrams'!$G$4:$G$15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'BGA 01_Diagrams'!$I$2</c15:sqref>
                        </c15:formulaRef>
                      </c:ext>
                    </c:extLst>
                    <c:strCache>
                      <c:ptCount val="1"/>
                      <c:pt idx="0">
                        <c:v>grass silage</c:v>
                      </c:pt>
                    </c:strCache>
                  </c:strRef>
                </c:tx>
                <c:spPr>
                  <a:solidFill>
                    <a:srgbClr val="92D050"/>
                  </a:solidFill>
                  <a:ln>
                    <a:solidFill>
                      <a:srgbClr val="92D050"/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01_Diagrams'!$I$4:$I$15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'BGA 01_Diagrams'!$J$2</c15:sqref>
                        </c15:formulaRef>
                      </c:ext>
                    </c:extLst>
                    <c:strCache>
                      <c:ptCount val="1"/>
                      <c:pt idx="0">
                        <c:v>green rye silage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solidFill>
                      <a:schemeClr val="accent2"/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01_Diagrams'!$J$4:$J$15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'BGA 01_Diagrams'!$K$2</c15:sqref>
                        </c15:formulaRef>
                      </c:ext>
                    </c:extLst>
                    <c:strCache>
                      <c:ptCount val="1"/>
                      <c:pt idx="0">
                        <c:v>Substrate name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01_Diagrams'!$K$4:$K$15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'BGA 01_Diagrams'!$L$2</c15:sqref>
                        </c15:formulaRef>
                      </c:ext>
                    </c:extLst>
                    <c:strCache>
                      <c:ptCount val="1"/>
                      <c:pt idx="0">
                        <c:v>Substrate name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01_Diagrams'!$L$4:$L$15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'BGA 01_Diagrams'!$M$2</c15:sqref>
                        </c15:formulaRef>
                      </c:ext>
                    </c:extLst>
                    <c:strCache>
                      <c:ptCount val="1"/>
                      <c:pt idx="0">
                        <c:v>Substrate name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01_Diagrams'!$M$4:$M$15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'BGA 01_Diagrams'!$N$2</c15:sqref>
                        </c15:formulaRef>
                      </c:ext>
                    </c:extLst>
                    <c:strCache>
                      <c:ptCount val="1"/>
                      <c:pt idx="0">
                        <c:v>Substrate name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01_Diagrams'!$N$4:$N$15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'BGA 01_Diagrams'!$O$2</c15:sqref>
                        </c15:formulaRef>
                      </c:ext>
                    </c:extLst>
                    <c:strCache>
                      <c:ptCount val="1"/>
                      <c:pt idx="0">
                        <c:v>Substrate name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01_Diagrams'!$O$4:$O$15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'BGA 01_Diagrams'!$P$2</c15:sqref>
                        </c15:formulaRef>
                      </c:ext>
                    </c:extLst>
                    <c:strCache>
                      <c:ptCount val="1"/>
                      <c:pt idx="0">
                        <c:v>turkey manure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solidFill>
                      <a:schemeClr val="accent4"/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01_Diagrams'!$P$4:$P$15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'BGA 01_Diagrams'!$Q$2</c15:sqref>
                        </c15:formulaRef>
                      </c:ext>
                    </c:extLst>
                    <c:strCache>
                      <c:ptCount val="1"/>
                      <c:pt idx="0">
                        <c:v>wheat bran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01_Diagrams'!$Q$4:$Q$15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'BGA 01_Diagrams'!$U$2</c15:sqref>
                        </c15:formulaRef>
                      </c:ext>
                    </c:extLst>
                    <c:strCache>
                      <c:ptCount val="1"/>
                      <c:pt idx="0">
                        <c:v>Substrate name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'BGA 01_Diagrams'!$U$4:$U$15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16"/>
          <c:order val="16"/>
          <c:tx>
            <c:strRef>
              <c:f>'BGA 01_Diagrams'!$Z$2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dLbls>
            <c:delete val="1"/>
          </c:dLbls>
          <c:val>
            <c:numRef>
              <c:f>'BGA 01_Diagrams'!$Z$4:$Z$15</c:f>
              <c:numCache>
                <c:formatCode>0.00</c:formatCode>
                <c:ptCount val="12"/>
                <c:pt idx="0">
                  <c:v>37.3665349744023</c:v>
                </c:pt>
                <c:pt idx="1">
                  <c:v>38.7237854441609</c:v>
                </c:pt>
                <c:pt idx="2">
                  <c:v>35.7258064516129</c:v>
                </c:pt>
                <c:pt idx="3">
                  <c:v>38.4774193548387</c:v>
                </c:pt>
                <c:pt idx="4">
                  <c:v>38.9892857142857</c:v>
                </c:pt>
                <c:pt idx="5">
                  <c:v>37.8193548387097</c:v>
                </c:pt>
                <c:pt idx="6">
                  <c:v>37.99</c:v>
                </c:pt>
                <c:pt idx="7">
                  <c:v>36.7354838709678</c:v>
                </c:pt>
                <c:pt idx="8">
                  <c:v>36.67</c:v>
                </c:pt>
                <c:pt idx="9">
                  <c:v>36.9290322580645</c:v>
                </c:pt>
                <c:pt idx="10">
                  <c:v>33.4612903225807</c:v>
                </c:pt>
                <c:pt idx="11">
                  <c:v>36.9752215315069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4012527"/>
        <c:axId val="2049134096"/>
      </c:lineChart>
      <c:dateAx>
        <c:axId val="2450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5058560"/>
        <c:crosses val="autoZero"/>
        <c:auto val="0"/>
        <c:lblAlgn val="ctr"/>
        <c:lblOffset val="100"/>
        <c:baseTimeUnit val="days"/>
      </c:dateAx>
      <c:valAx>
        <c:axId val="24505856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5056640"/>
        <c:crosses val="autoZero"/>
        <c:crossBetween val="between"/>
      </c:valAx>
      <c:catAx>
        <c:axId val="1744012527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49134096"/>
        <c:crosses val="autoZero"/>
        <c:auto val="1"/>
        <c:lblAlgn val="ctr"/>
        <c:lblOffset val="100"/>
        <c:noMultiLvlLbl val="0"/>
      </c:catAx>
      <c:valAx>
        <c:axId val="2049134096"/>
        <c:scaling>
          <c:orientation val="minMax"/>
          <c:max val="45"/>
        </c:scaling>
        <c:delete val="0"/>
        <c:axPos val="r"/>
        <c:numFmt formatCode="0.0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744012527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0138915032679739"/>
          <c:y val="0.868083802751248"/>
          <c:w val="0.880165967298941"/>
          <c:h val="0.12502242599421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'[4]BGA 01_Diagramme'!$D$25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'BGA 01_Diagrams'!$D$28:$D$39</c:f>
              <c:numCache>
                <c:formatCode>mmm</c:formatCode>
                <c:ptCount val="12"/>
                <c:pt idx="0" c:formatCode="mmm">
                  <c:v>42644</c:v>
                </c:pt>
                <c:pt idx="1" c:formatCode="mmm">
                  <c:v>42675</c:v>
                </c:pt>
                <c:pt idx="2" c:formatCode="mmm">
                  <c:v>42705</c:v>
                </c:pt>
                <c:pt idx="3" c:formatCode="mmm">
                  <c:v>42736</c:v>
                </c:pt>
                <c:pt idx="4" c:formatCode="mmm">
                  <c:v>42767</c:v>
                </c:pt>
                <c:pt idx="5" c:formatCode="mmm">
                  <c:v>42795</c:v>
                </c:pt>
                <c:pt idx="6" c:formatCode="mmm">
                  <c:v>42826</c:v>
                </c:pt>
                <c:pt idx="7" c:formatCode="mmm">
                  <c:v>42856</c:v>
                </c:pt>
                <c:pt idx="8" c:formatCode="mmm">
                  <c:v>42887</c:v>
                </c:pt>
                <c:pt idx="9" c:formatCode="mmm">
                  <c:v>42917</c:v>
                </c:pt>
                <c:pt idx="10" c:formatCode="mmm">
                  <c:v>42948</c:v>
                </c:pt>
                <c:pt idx="11" c:formatCode="mmm">
                  <c:v>42979</c:v>
                </c:pt>
              </c:numCache>
            </c:numRef>
          </c:cat>
          <c:val>
            <c:numRef>
              <c:f>'BGA 01_Diagrams'!$E$28:$E$39</c:f>
              <c:numCache>
                <c:formatCode>#,##0.000</c:formatCode>
                <c:ptCount val="12"/>
                <c:pt idx="0">
                  <c:v>0.22</c:v>
                </c:pt>
                <c:pt idx="1">
                  <c:v>0.195</c:v>
                </c:pt>
                <c:pt idx="2">
                  <c:v>0.165</c:v>
                </c:pt>
                <c:pt idx="3">
                  <c:v>0.17</c:v>
                </c:pt>
                <c:pt idx="4">
                  <c:v>0.16</c:v>
                </c:pt>
                <c:pt idx="5">
                  <c:v>0.19</c:v>
                </c:pt>
                <c:pt idx="6">
                  <c:v>0.19</c:v>
                </c:pt>
                <c:pt idx="7">
                  <c:v>0.18</c:v>
                </c:pt>
                <c:pt idx="8">
                  <c:v>0.16</c:v>
                </c:pt>
                <c:pt idx="9">
                  <c:v>0.175</c:v>
                </c:pt>
                <c:pt idx="10">
                  <c:v>0.14</c:v>
                </c:pt>
                <c:pt idx="11">
                  <c:v>0.19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45567488"/>
        <c:axId val="245569024"/>
      </c:barChart>
      <c:dateAx>
        <c:axId val="245567488"/>
        <c:scaling>
          <c:orientation val="minMax"/>
        </c:scaling>
        <c:delete val="0"/>
        <c:axPos val="b"/>
        <c:numFmt formatCode="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569024"/>
        <c:crosses val="autoZero"/>
        <c:auto val="1"/>
        <c:lblOffset val="100"/>
        <c:baseTimeUnit val="months"/>
      </c:dateAx>
      <c:valAx>
        <c:axId val="2455690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567488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520751633987"/>
          <c:y val="0.0530243902439024"/>
          <c:w val="0.853652450980392"/>
          <c:h val="0.8425606368563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'BGA 01_Diagrams'!$H$47</c:f>
              <c:strCache>
                <c:ptCount val="1"/>
                <c:pt idx="0">
                  <c:v>Electrical Utilization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'BGA 01_Diagrams'!$H$48:$H$60</c:f>
              <c:numCache>
                <c:formatCode>General</c:formatCode>
                <c:ptCount val="13"/>
                <c:pt idx="1" c:formatCode="0">
                  <c:v>97.1931593095642</c:v>
                </c:pt>
                <c:pt idx="2" c:formatCode="0">
                  <c:v>100.375</c:v>
                </c:pt>
                <c:pt idx="3" c:formatCode="0">
                  <c:v>91.1663483305037</c:v>
                </c:pt>
                <c:pt idx="4" c:formatCode="0">
                  <c:v>100.105758347482</c:v>
                </c:pt>
                <c:pt idx="5" c:formatCode="0">
                  <c:v>99.4809288847118</c:v>
                </c:pt>
                <c:pt idx="6" c:formatCode="0">
                  <c:v>99.8921194114318</c:v>
                </c:pt>
                <c:pt idx="7" c:formatCode="0">
                  <c:v>100.599597953216</c:v>
                </c:pt>
                <c:pt idx="8" c:formatCode="0">
                  <c:v>95.0779923599321</c:v>
                </c:pt>
                <c:pt idx="9" c:formatCode="0">
                  <c:v>100.014619883041</c:v>
                </c:pt>
                <c:pt idx="10" c:formatCode="0">
                  <c:v>99.8779711375212</c:v>
                </c:pt>
                <c:pt idx="11" c:formatCode="0">
                  <c:v>92.3931805319751</c:v>
                </c:pt>
                <c:pt idx="12" c:formatCode="0">
                  <c:v>91.702668128655</c:v>
                </c:pt>
              </c:numCache>
            </c:numRef>
          </c:val>
        </c:ser>
        <c:ser>
          <c:idx val="1"/>
          <c:order val="1"/>
          <c:tx>
            <c:strRef>
              <c:f>'BGA 01_Diagrams'!$I$47</c:f>
              <c:strCache>
                <c:ptCount val="1"/>
                <c:pt idx="0">
                  <c:v>Thermal utilization by third-party users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'BGA 01_Diagrams'!$I$48:$I$60</c:f>
              <c:numCache>
                <c:formatCode>General</c:formatCode>
                <c:ptCount val="13"/>
                <c:pt idx="1">
                  <c:v>0</c:v>
                </c:pt>
                <c:pt idx="2">
                  <c:v>53.8827711640212</c:v>
                </c:pt>
                <c:pt idx="3">
                  <c:v>39.885752688172</c:v>
                </c:pt>
                <c:pt idx="4">
                  <c:v>46.0655081925243</c:v>
                </c:pt>
                <c:pt idx="5">
                  <c:v>53.2401502267574</c:v>
                </c:pt>
                <c:pt idx="6">
                  <c:v>60.1720110087046</c:v>
                </c:pt>
                <c:pt idx="7">
                  <c:v>61.3321759259259</c:v>
                </c:pt>
                <c:pt idx="8">
                  <c:v>64.4140424987199</c:v>
                </c:pt>
                <c:pt idx="9">
                  <c:v>65.2928240740741</c:v>
                </c:pt>
                <c:pt idx="10">
                  <c:v>61.1863159242192</c:v>
                </c:pt>
                <c:pt idx="11">
                  <c:v>54.8193484383001</c:v>
                </c:pt>
                <c:pt idx="12">
                  <c:v>61.7123015873016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602944"/>
        <c:axId val="245617024"/>
      </c:barChart>
      <c:catAx>
        <c:axId val="24560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617024"/>
        <c:crosses val="autoZero"/>
        <c:auto val="1"/>
        <c:lblAlgn val="ctr"/>
        <c:lblOffset val="100"/>
        <c:noMultiLvlLbl val="0"/>
      </c:catAx>
      <c:valAx>
        <c:axId val="245617024"/>
        <c:scaling>
          <c:orientation val="minMax"/>
          <c:max val="1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602944"/>
        <c:crosses val="autoZero"/>
        <c:crossBetween val="between"/>
        <c:majorUnit val="1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0143300653595"/>
          <c:y val="0.0513567073170732"/>
          <c:w val="0.859321241830065"/>
          <c:h val="0.0882096883468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25563638013354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'[5]BGA 02_Diagramme'!$F$2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'[5]BGA 02_Diagramme'!$C$4:$C$15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'[5]BGA 02_Diagramme'!$F$4:$F$15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4"/>
          <c:tx>
            <c:strRef>
              <c:f>'[5]BGA 02_Diagramme'!$H$2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'[5]BGA 02_Diagramme'!$C$4:$C$15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'[5]BGA 02_Diagramme'!$H$4:$H$15</c:f>
              <c:numCache>
                <c:formatCode>General</c:formatCode>
                <c:ptCount val="12"/>
              </c:numCache>
            </c:numRef>
          </c:val>
        </c:ser>
        <c:ser>
          <c:idx val="10"/>
          <c:order val="10"/>
          <c:tx>
            <c:strRef>
              <c:f>'[5]BGA 02_Diagramme'!$R$2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'[5]BGA 02_Diagramme'!$R$4:$R$15</c:f>
              <c:numCache>
                <c:formatCode>General</c:formatCode>
                <c:ptCount val="12"/>
              </c:numCache>
            </c:numRef>
          </c:val>
        </c:ser>
        <c:ser>
          <c:idx val="11"/>
          <c:order val="11"/>
          <c:tx>
            <c:strRef>
              <c:f>'[5]BGA 02_Diagramme'!$S$2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'[5]BGA 02_Diagramme'!$S$4:$S$15</c:f>
              <c:numCache>
                <c:formatCode>General</c:formatCode>
                <c:ptCount val="12"/>
              </c:numCache>
            </c:numRef>
          </c:val>
        </c:ser>
        <c:ser>
          <c:idx val="12"/>
          <c:order val="12"/>
          <c:tx>
            <c:strRef>
              <c:f>'[5]BGA 02_Diagramme'!$T$2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'[5]BGA 02_Diagramme'!$T$4:$T$15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4248960"/>
        <c:axId val="244250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'[5]BGA 02_Diagramme'!$D$2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solidFill>
                      <a:schemeClr val="accent4">
                        <a:lumMod val="5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'[5]BGA 02_Diagramme'!$C$4:$C$15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'[5]BGA 02_Diagramme'!$D$4:$D$15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1"/>
                <c:tx>
                  <c:strRef>
                    <c:extLst>
                      <c:ext uri="{02D57815-91ED-43cb-92C2-25804820EDAC}">
                        <c15:formulaRef>
                          <c15:sqref>'[5]BGA 02_Diagramme'!$E$2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75000"/>
                    </a:schemeClr>
                  </a:solidFill>
                  <a:ln>
                    <a:solidFill>
                      <a:schemeClr val="accent4">
                        <a:lumMod val="75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'[5]BGA 02_Diagramme'!$C$4:$C$15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'[5]BGA 02_Diagramme'!$E$4:$E$15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'[5]BGA 02_Diagramme'!$I$2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92D050"/>
                  </a:solidFill>
                  <a:ln>
                    <a:solidFill>
                      <a:srgbClr val="92D050"/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'[5]BGA 02_Diagramme'!$C$4:$C$15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'[5]BGA 02_Diagramme'!$I$4:$I$15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'[5]BGA 02_Diagramme'!$J$2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solidFill>
                      <a:schemeClr val="accent2"/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'[5]BGA 02_Diagramme'!$C$4:$C$15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'[5]BGA 02_Diagramme'!$J$4:$J$15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'[5]BGA 02_Diagramme'!$G$2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'[5]BGA 02_Diagramme'!$C$4:$C$15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'[5]BGA 02_Diagramme'!$G$4:$G$15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'[5]BGA 02_Diagramme'!$P$2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solidFill>
                      <a:schemeClr val="accent4"/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'[5]BGA 02_Diagramme'!$P$4:$P$15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'[5]BGA 02_Diagramme'!$Q$2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'[5]BGA 02_Diagramme'!$Q$4:$Q$15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'[5]BGA 02_Diagramme'!$U$2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'[5]BGA 02_Diagramme'!$U$4:$U$15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'[5]BGA 02_Diagramme'!$K$2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'[5]BGA 02_Diagramme'!$K$4:$K$15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'[5]BGA 02_Diagramme'!$L$2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'[5]BGA 02_Diagramme'!$L$4:$L$15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'[5]BGA 02_Diagramme'!$M$2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'[5]BGA 02_Diagramme'!$M$4:$M$15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'[5]BGA 02_Diagramme'!$N$2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'[5]BGA 02_Diagramme'!$N$4:$N$15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'[5]BGA 02_Diagramme'!$O$2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'[5]BGA 02_Diagramme'!$O$4:$O$15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'[5]BGA 02_Diagramme'!$Z$4:$Z$15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635328"/>
        <c:axId val="245633408"/>
      </c:lineChart>
      <c:dateAx>
        <c:axId val="24424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4250880"/>
        <c:crosses val="autoZero"/>
        <c:auto val="0"/>
        <c:lblAlgn val="ctr"/>
        <c:lblOffset val="100"/>
        <c:baseTimeUnit val="days"/>
      </c:dateAx>
      <c:valAx>
        <c:axId val="24425088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4248960"/>
        <c:crosses val="autoZero"/>
        <c:crossBetween val="between"/>
      </c:valAx>
      <c:catAx>
        <c:axId val="24563532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5633408"/>
        <c:crosses val="autoZero"/>
        <c:auto val="1"/>
        <c:lblAlgn val="ctr"/>
        <c:lblOffset val="100"/>
        <c:noMultiLvlLbl val="0"/>
      </c:catAx>
      <c:valAx>
        <c:axId val="24563340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5635328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0138915032679739"/>
          <c:y val="0.863634573420884"/>
          <c:w val="0.973999690669395"/>
          <c:h val="0.13636542657911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'[5]BGA 02_Diagramme'!$D$25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'[5]BGA 02_Diagramme'!$D$28:$D$39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'[5]BGA 02_Diagramme'!$E$28:$E$39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44281728"/>
        <c:axId val="244283264"/>
      </c:barChart>
      <c:catAx>
        <c:axId val="24428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4283264"/>
        <c:crosses val="autoZero"/>
        <c:auto val="1"/>
        <c:lblAlgn val="ctr"/>
        <c:lblOffset val="100"/>
        <c:noMultiLvlLbl val="1"/>
      </c:catAx>
      <c:valAx>
        <c:axId val="244283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4281728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44086021505"/>
          <c:y val="0.0458700191212994"/>
          <c:w val="0.86985658238884"/>
          <c:h val="0.84334717979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'[5]BGA 02_Diagramme'!$H$47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'[5]BGA 02_Diagramme'!$C$49:$C$60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'[5]BGA 02_Diagramme'!$H$49:$H$60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'[5]BGA 02_Diagramme'!$I$47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'[5]BGA 02_Diagramme'!$C$49:$C$60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'[5]BGA 02_Diagramme'!$I$49:$I$60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4309376"/>
        <c:axId val="244311168"/>
      </c:barChart>
      <c:catAx>
        <c:axId val="24430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4311168"/>
        <c:crosses val="autoZero"/>
        <c:auto val="1"/>
        <c:lblAlgn val="ctr"/>
        <c:lblOffset val="100"/>
        <c:noMultiLvlLbl val="0"/>
      </c:catAx>
      <c:valAx>
        <c:axId val="244311168"/>
        <c:scaling>
          <c:orientation val="minMax"/>
          <c:max val="1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4309376"/>
        <c:crosses val="autoZero"/>
        <c:crossBetween val="between"/>
        <c:majorUnit val="1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9758355129323"/>
          <c:y val="0.0565375063188202"/>
          <c:w val="0.76417407730311"/>
          <c:h val="0.0763079042030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095666766857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'[6]BGA 03_Diagramme'!$D$2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'[6]BGA 03_Diagramme'!$C$4:$C$15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'[6]BGA 03_Diagramme'!$D$4:$D$15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1"/>
          <c:tx>
            <c:strRef>
              <c:f>'[6]BGA 03_Diagramme'!$E$2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'[6]BGA 03_Diagramme'!$C$4:$C$15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'[6]BGA 03_Diagramme'!$E$4:$E$15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'[6]BGA 03_Diagramme'!$F$2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'[6]BGA 03_Diagramme'!$C$4:$C$15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'[6]BGA 03_Diagramme'!$F$4:$F$15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'[6]BGA 03_Diagramme'!$I$2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'[6]BGA 03_Diagramme'!$C$4:$C$15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'[6]BGA 03_Diagramme'!$I$4:$I$15</c:f>
              <c:numCache>
                <c:formatCode>General</c:formatCode>
                <c:ptCount val="12"/>
              </c:numCache>
            </c:numRef>
          </c:val>
        </c:ser>
        <c:ser>
          <c:idx val="11"/>
          <c:order val="11"/>
          <c:tx>
            <c:strRef>
              <c:f>'[6]BGA 03_Diagramme'!$S$2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'[6]BGA 03_Diagramme'!$S$4:$S$15</c:f>
              <c:numCache>
                <c:formatCode>General</c:formatCode>
                <c:ptCount val="12"/>
              </c:numCache>
            </c:numRef>
          </c:val>
        </c:ser>
        <c:ser>
          <c:idx val="12"/>
          <c:order val="12"/>
          <c:tx>
            <c:strRef>
              <c:f>'[6]BGA 03_Diagramme'!$T$2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</c:spPr>
          <c:invertIfNegative val="0"/>
          <c:dLbls>
            <c:delete val="1"/>
          </c:dLbls>
          <c:val>
            <c:numRef>
              <c:f>'[6]BGA 03_Diagramme'!$T$4:$T$15</c:f>
              <c:numCache>
                <c:formatCode>General</c:formatCode>
                <c:ptCount val="12"/>
              </c:numCache>
            </c:numRef>
          </c:val>
        </c:ser>
        <c:ser>
          <c:idx val="14"/>
          <c:order val="14"/>
          <c:tx>
            <c:strRef>
              <c:f>'[6]BGA 03_Diagramme'!$K$2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bg1">
                  <a:lumMod val="65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'[6]BGA 03_Diagramme'!$K$4:$K$15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437568"/>
        <c:axId val="139439488"/>
        <c:extLst>
          <c:ext xmlns:c15="http://schemas.microsoft.com/office/drawing/2012/chart" uri="{02D57815-91ED-43cb-92C2-25804820EDAC}">
            <c15:filteredBarSeries>
              <c15:ser>
                <c:idx val="2"/>
                <c:order val="4"/>
                <c:tx>
                  <c:strRef>
                    <c:extLst>
                      <c:ext uri="{02D57815-91ED-43cb-92C2-25804820EDAC}">
                        <c15:formulaRef>
                          <c15:sqref>'[6]BGA 03_Diagramme'!$H$2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solidFill>
                      <a:schemeClr val="accent2"/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'[6]BGA 03_Diagramme'!$C$4:$C$15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'[6]BGA 03_Diagramme'!$H$4:$H$15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'[6]BGA 03_Diagramme'!$J$2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solidFill>
                      <a:schemeClr val="accent2"/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'[6]BGA 03_Diagramme'!$C$4:$C$15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'[6]BGA 03_Diagramme'!$J$4:$J$15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'[6]BGA 03_Diagramme'!$G$2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'[6]BGA 03_Diagramme'!$C$4:$C$15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'[6]BGA 03_Diagramme'!$G$4:$G$15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'[6]BGA 03_Diagramme'!$P$2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solidFill>
                      <a:schemeClr val="accent4"/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'[6]BGA 03_Diagramme'!$P$4:$P$15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'[6]BGA 03_Diagramme'!$Q$2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'[6]BGA 03_Diagramme'!$Q$4:$Q$15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'[6]BGA 03_Diagramme'!$R$2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'[6]BGA 03_Diagramme'!$R$4:$R$15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'[6]BGA 03_Diagramme'!$U$2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'[6]BGA 03_Diagramme'!$U$4:$U$15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'[6]BGA 03_Diagramme'!$L$2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'[6]BGA 03_Diagramme'!$L$4:$L$15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'[6]BGA 03_Diagramme'!$M$2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'[6]BGA 03_Diagramme'!$M$4:$M$15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'[6]BGA 03_Diagramme'!$N$2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'[6]BGA 03_Diagramme'!$N$4:$N$15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'[6]BGA 03_Diagramme'!$O$2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'[6]BGA 03_Diagramme'!$O$4:$O$15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'[6]BGA 03_Diagramme'!$Z$4:$Z$15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51776"/>
        <c:axId val="139449856"/>
      </c:lineChart>
      <c:dateAx>
        <c:axId val="13943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9439488"/>
        <c:crosses val="autoZero"/>
        <c:auto val="0"/>
        <c:lblAlgn val="ctr"/>
        <c:lblOffset val="100"/>
        <c:baseTimeUnit val="days"/>
      </c:dateAx>
      <c:valAx>
        <c:axId val="13943948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9437568"/>
        <c:crosses val="autoZero"/>
        <c:crossBetween val="between"/>
      </c:valAx>
      <c:catAx>
        <c:axId val="13945177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9449856"/>
        <c:crosses val="autoZero"/>
        <c:auto val="1"/>
        <c:lblAlgn val="ctr"/>
        <c:lblOffset val="100"/>
        <c:noMultiLvlLbl val="0"/>
      </c:catAx>
      <c:valAx>
        <c:axId val="13944985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945177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0138915032679739"/>
          <c:y val="0.85328148482116"/>
          <c:w val="0.973999690669395"/>
          <c:h val="0.1467185151788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'[6]BGA 03_Diagramme'!$D$25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'[6]BGA 03_Diagramme'!$D$28:$D$39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'[6]BGA 03_Diagramme'!$E$28:$E$38</c:f>
              <c:numCache>
                <c:formatCode>General</c:formatCode>
                <c:ptCount val="1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139489280"/>
        <c:axId val="139490816"/>
      </c:barChart>
      <c:catAx>
        <c:axId val="1394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39490816"/>
        <c:crosses val="autoZero"/>
        <c:auto val="1"/>
        <c:lblAlgn val="ctr"/>
        <c:lblOffset val="100"/>
        <c:noMultiLvlLbl val="1"/>
      </c:catAx>
      <c:valAx>
        <c:axId val="139490816"/>
        <c:scaling>
          <c:orientation val="minMax"/>
          <c:max val="0.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39489280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'[6]BGA 03_Diagramme'!$H$47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'[6]BGA 03_Diagramme'!$C$49:$C$60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'[6]BGA 03_Diagramme'!$H$49:$H$60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454336"/>
        <c:axId val="2454558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'[6]BGA 03_Diagramme'!$I$47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'[6]BGA 03_Diagramme'!$C$49:$C$60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'[6]BGA 03_Diagramme'!$I$49:$I$60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catAx>
        <c:axId val="24545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455872"/>
        <c:crosses val="autoZero"/>
        <c:auto val="1"/>
        <c:lblAlgn val="ctr"/>
        <c:lblOffset val="100"/>
        <c:noMultiLvlLbl val="0"/>
      </c:catAx>
      <c:valAx>
        <c:axId val="245455872"/>
        <c:scaling>
          <c:orientation val="minMax"/>
          <c:max val="1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454336"/>
        <c:crosses val="autoZero"/>
        <c:crossBetween val="between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699422054805394"/>
        </c:manualLayout>
      </c:layout>
      <c:barChart>
        <c:barDir val="col"/>
        <c:grouping val="stacked"/>
        <c:varyColors val="0"/>
        <c:ser>
          <c:idx val="6"/>
          <c:order val="1"/>
          <c:tx>
            <c:strRef>
              <c:f>'[7]BGA 04_Diagramme'!$E$2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'[7]BGA 04_Diagramme'!$C$4:$C$15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'[7]BGA 04_Diagramme'!$E$4:$E$15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'[7]BGA 04_Diagramme'!$F$2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'[7]BGA 04_Diagramme'!$C$4:$C$15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'[7]BGA 04_Diagramme'!$F$4:$F$15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'[7]BGA 04_Diagramme'!$I$2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'[7]BGA 04_Diagramme'!$C$4:$C$15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'[7]BGA 04_Diagramme'!$I$4:$I$15</c:f>
              <c:numCache>
                <c:formatCode>General</c:formatCode>
                <c:ptCount val="12"/>
              </c:numCache>
            </c:numRef>
          </c:val>
        </c:ser>
        <c:ser>
          <c:idx val="10"/>
          <c:order val="10"/>
          <c:tx>
            <c:strRef>
              <c:f>'[7]BGA 04_Diagramme'!$R$2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noFill/>
            </a:ln>
          </c:spPr>
          <c:invertIfNegative val="0"/>
          <c:dLbls>
            <c:delete val="1"/>
          </c:dLbls>
          <c:val>
            <c:numRef>
              <c:f>'[7]BGA 04_Diagramme'!$R$4:$R$15</c:f>
              <c:numCache>
                <c:formatCode>General</c:formatCode>
                <c:ptCount val="12"/>
              </c:numCache>
            </c:numRef>
          </c:val>
        </c:ser>
        <c:ser>
          <c:idx val="11"/>
          <c:order val="11"/>
          <c:tx>
            <c:strRef>
              <c:f>'[7]BGA 04_Diagramme'!$S$2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noFill/>
            </a:ln>
          </c:spPr>
          <c:invertIfNegative val="0"/>
          <c:dLbls>
            <c:delete val="1"/>
          </c:dLbls>
          <c:val>
            <c:numRef>
              <c:f>'[7]BGA 04_Diagramme'!$S$4:$S$15</c:f>
              <c:numCache>
                <c:formatCode>General</c:formatCode>
                <c:ptCount val="12"/>
              </c:numCache>
            </c:numRef>
          </c:val>
        </c:ser>
        <c:ser>
          <c:idx val="13"/>
          <c:order val="13"/>
          <c:tx>
            <c:strRef>
              <c:f>'[7]BGA 04_Diagramme'!$U$2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noFill/>
            </a:ln>
          </c:spPr>
          <c:invertIfNegative val="0"/>
          <c:dLbls>
            <c:delete val="1"/>
          </c:dLbls>
          <c:val>
            <c:numRef>
              <c:f>'[7]BGA 04_Diagramme'!$U$4:$U$15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5784576"/>
        <c:axId val="2457864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'[7]BGA 04_Diagramme'!$D$2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'[7]BGA 04_Diagramme'!$C$4:$C$15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'[7]BGA 04_Diagramme'!$D$4:$D$15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2"/>
                <c:order val="4"/>
                <c:tx>
                  <c:strRef>
                    <c:extLst>
                      <c:ext uri="{02D57815-91ED-43cb-92C2-25804820EDAC}">
                        <c15:formulaRef>
                          <c15:sqref>'[7]BGA 04_Diagramme'!$H$2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'[7]BGA 04_Diagramme'!$C$4:$C$15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'[7]BGA 04_Diagramme'!$H$4:$H$15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'[7]BGA 04_Diagramme'!$J$2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'[7]BGA 04_Diagramme'!$C$4:$C$15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'[7]BGA 04_Diagramme'!$J$4:$J$15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'[7]BGA 04_Diagramme'!$G$2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'[7]BGA 04_Diagramme'!$C$4:$C$15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'[7]BGA 04_Diagramme'!$G$4:$G$15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'[7]BGA 04_Diagramme'!$P$2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'[7]BGA 04_Diagramme'!$P$4:$P$15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'[7]BGA 04_Diagramme'!$Q$2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'[7]BGA 04_Diagramme'!$Q$4:$Q$15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'[7]BGA 04_Diagramme'!$T$2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'[7]BGA 04_Diagramme'!$T$4:$T$15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'[7]BGA 04_Diagramme'!$K$2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'[7]BGA 04_Diagramme'!$K$4:$K$15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'[7]BGA 04_Diagramme'!$L$2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'[7]BGA 04_Diagramme'!$L$4:$L$15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'[7]BGA 04_Diagramme'!$M$2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'[7]BGA 04_Diagramme'!$M$4:$M$15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'[7]BGA 04_Diagramme'!$N$2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'[7]BGA 04_Diagramme'!$N$4:$N$15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'[7]BGA 04_Diagramme'!$O$2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'[7]BGA 04_Diagramme'!$O$4:$O$15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'[7]BGA 04_Diagramme'!$Z$4:$Z$15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794688"/>
        <c:axId val="245792768"/>
      </c:lineChart>
      <c:dateAx>
        <c:axId val="2457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5786496"/>
        <c:crosses val="autoZero"/>
        <c:auto val="0"/>
        <c:lblAlgn val="ctr"/>
        <c:lblOffset val="100"/>
        <c:baseTimeUnit val="days"/>
      </c:dateAx>
      <c:valAx>
        <c:axId val="24578649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5784576"/>
        <c:crosses val="autoZero"/>
        <c:crossBetween val="between"/>
      </c:valAx>
      <c:catAx>
        <c:axId val="24579468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5792768"/>
        <c:crosses val="autoZero"/>
        <c:auto val="1"/>
        <c:lblAlgn val="ctr"/>
        <c:lblOffset val="100"/>
        <c:noMultiLvlLbl val="0"/>
      </c:catAx>
      <c:valAx>
        <c:axId val="24579276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5794688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6"/>
        <c:delete val="1"/>
      </c:legendEntry>
      <c:layout>
        <c:manualLayout>
          <c:xMode val="edge"/>
          <c:yMode val="edge"/>
          <c:x val="0"/>
          <c:y val="0.835732595702991"/>
          <c:w val="1"/>
          <c:h val="0.164267404297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'[7]BGA 04_Diagramme'!$D$25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'[7]BGA 04_Diagramme'!$D$28:$D$39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'[7]BGA 04_Diagramme'!$E$28:$E$39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45836032"/>
        <c:axId val="245841920"/>
      </c:barChart>
      <c:catAx>
        <c:axId val="2458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841920"/>
        <c:crosses val="autoZero"/>
        <c:auto val="1"/>
        <c:lblAlgn val="ctr"/>
        <c:lblOffset val="100"/>
        <c:noMultiLvlLbl val="1"/>
      </c:catAx>
      <c:valAx>
        <c:axId val="245841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836032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520751633987"/>
          <c:y val="0.0527030303030303"/>
          <c:w val="0.853652450980392"/>
          <c:h val="0.8306865319865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'[7]BGA 04_Diagramme'!$H$47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'[7]BGA 04_Diagramme'!$C$49:$C$60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'[7]BGA 04_Diagramme'!$H$49:$H$60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'[7]BGA 04_Diagramme'!$I$47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'[7]BGA 04_Diagramme'!$C$49:$C$60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'[7]BGA 04_Diagramme'!$I$49:$I$60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871744"/>
        <c:axId val="245873280"/>
      </c:barChart>
      <c:catAx>
        <c:axId val="24587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873280"/>
        <c:crosses val="autoZero"/>
        <c:auto val="1"/>
        <c:lblAlgn val="ctr"/>
        <c:lblOffset val="100"/>
        <c:noMultiLvlLbl val="0"/>
      </c:catAx>
      <c:valAx>
        <c:axId val="245873280"/>
        <c:scaling>
          <c:orientation val="minMax"/>
          <c:max val="1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5871744"/>
        <c:crosses val="autoZero"/>
        <c:crossBetween val="between"/>
        <c:majorUnit val="1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36744607843137"/>
          <c:y val="0.0400016835016835"/>
          <c:w val="0.859321241830065"/>
          <c:h val="0.08767508417508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'[8]BGA 05_Diagramme'!$F$2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'[8]BGA 05_Diagramme'!$C$4:$C$15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'[8]BGA 05_Diagramme'!$F$4:$F$15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4"/>
          <c:tx>
            <c:strRef>
              <c:f>'[8]BGA 05_Diagramme'!$H$2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'[8]BGA 05_Diagramme'!$C$4:$C$15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'[8]BGA 05_Diagramme'!$H$4:$H$15</c:f>
              <c:numCache>
                <c:formatCode>General</c:formatCode>
                <c:ptCount val="12"/>
              </c:numCache>
            </c:numRef>
          </c:val>
        </c:ser>
        <c:ser>
          <c:idx val="13"/>
          <c:order val="13"/>
          <c:tx>
            <c:strRef>
              <c:f>'[8]BGA 05_Diagramme'!$U$2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'[8]BGA 05_Diagramme'!$U$4:$U$15</c:f>
              <c:numCache>
                <c:formatCode>General</c:formatCode>
                <c:ptCount val="12"/>
              </c:numCache>
            </c:numRef>
          </c:val>
        </c:ser>
        <c:ser>
          <c:idx val="14"/>
          <c:order val="14"/>
          <c:tx>
            <c:strRef>
              <c:f>'[8]BGA 05_Diagramme'!$K$2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'[8]BGA 05_Diagramme'!$K$4:$K$15</c:f>
              <c:numCache>
                <c:formatCode>General</c:formatCode>
                <c:ptCount val="12"/>
              </c:numCache>
            </c:numRef>
          </c:val>
        </c:ser>
        <c:ser>
          <c:idx val="15"/>
          <c:order val="15"/>
          <c:tx>
            <c:strRef>
              <c:f>'[8]BGA 05_Diagramme'!$L$2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'[8]BGA 05_Diagramme'!$L$4:$L$15</c:f>
              <c:numCache>
                <c:formatCode>General</c:formatCode>
                <c:ptCount val="12"/>
              </c:numCache>
            </c:numRef>
          </c:val>
        </c:ser>
        <c:ser>
          <c:idx val="16"/>
          <c:order val="16"/>
          <c:tx>
            <c:strRef>
              <c:f>'[8]BGA 05_Diagramme'!$M$2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'[8]BGA 05_Diagramme'!$M$4:$M$15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6255616"/>
        <c:axId val="2462575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'[8]BGA 05_Diagramme'!$D$2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solidFill>
                      <a:schemeClr val="accent4">
                        <a:lumMod val="5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'[8]BGA 05_Diagramme'!$C$4:$C$15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'[8]BGA 05_Diagramme'!$D$4:$D$15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1"/>
                <c:tx>
                  <c:strRef>
                    <c:extLst>
                      <c:ext uri="{02D57815-91ED-43cb-92C2-25804820EDAC}">
                        <c15:formulaRef>
                          <c15:sqref>'[8]BGA 05_Diagramme'!$E$2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75000"/>
                    </a:schemeClr>
                  </a:solidFill>
                  <a:ln>
                    <a:solidFill>
                      <a:schemeClr val="accent4">
                        <a:lumMod val="75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'[8]BGA 05_Diagramme'!$C$4:$C$15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'[8]BGA 05_Diagramme'!$E$4:$E$15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'[8]BGA 05_Diagramme'!$I$2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92D050"/>
                  </a:solidFill>
                  <a:ln>
                    <a:solidFill>
                      <a:srgbClr val="92D050"/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'[8]BGA 05_Diagramme'!$C$4:$C$15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'[8]BGA 05_Diagramme'!$I$4:$I$15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'[8]BGA 05_Diagramme'!$J$2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solidFill>
                      <a:schemeClr val="accent2"/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'[8]BGA 05_Diagramme'!$C$4:$C$15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'[8]BGA 05_Diagramme'!$J$4:$J$15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'[8]BGA 05_Diagramme'!$G$2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'[8]BGA 05_Diagramme'!$C$4:$C$15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'[8]BGA 05_Diagramme'!$G$4:$G$15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'[8]BGA 05_Diagramme'!$P$2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solidFill>
                      <a:schemeClr val="accent4"/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'[8]BGA 05_Diagramme'!$P$4:$P$15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'[8]BGA 05_Diagramme'!$Q$2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'[8]BGA 05_Diagramme'!$Q$4:$Q$15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'[8]BGA 05_Diagramme'!$R$2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'[8]BGA 05_Diagramme'!$R$4:$R$15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'[8]BGA 05_Diagramme'!$S$2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'[8]BGA 05_Diagramme'!$S$4:$S$15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'[8]BGA 05_Diagramme'!$T$2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'[8]BGA 05_Diagramme'!$T$4:$T$15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'[8]BGA 05_Diagramme'!$N$2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'[8]BGA 05_Diagramme'!$N$4:$N$15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'[8]BGA 05_Diagramme'!$O$2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'[8]BGA 05_Diagramme'!$O$4:$O$15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'[8]BGA 05_Diagramme'!$Z$4:$Z$15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269824"/>
        <c:axId val="246267904"/>
      </c:lineChart>
      <c:dateAx>
        <c:axId val="2462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6257536"/>
        <c:crosses val="autoZero"/>
        <c:auto val="0"/>
        <c:lblAlgn val="ctr"/>
        <c:lblOffset val="100"/>
        <c:baseTimeUnit val="days"/>
      </c:dateAx>
      <c:valAx>
        <c:axId val="24625753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6255616"/>
        <c:crosses val="autoZero"/>
        <c:crossBetween val="between"/>
      </c:valAx>
      <c:catAx>
        <c:axId val="24626982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6267904"/>
        <c:crosses val="autoZero"/>
        <c:auto val="1"/>
        <c:lblAlgn val="ctr"/>
        <c:lblOffset val="100"/>
        <c:noMultiLvlLbl val="0"/>
      </c:catAx>
      <c:valAx>
        <c:axId val="24626790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32972222222222"/>
              <c:y val="0.065931800585586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6269824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6"/>
        <c:delete val="1"/>
      </c:legendEntry>
      <c:layout>
        <c:manualLayout>
          <c:xMode val="edge"/>
          <c:yMode val="edge"/>
          <c:x val="0.0138915032679739"/>
          <c:y val="0.87538076159439"/>
          <c:w val="0.970110088006089"/>
          <c:h val="0.1246192384056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'[8]BGA 05_Diagramme'!$D$25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'[8]BGA 05_Diagramme'!$D$28:$D$39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'[8]BGA 05_Diagramme'!$E$28:$E$39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0956416"/>
        <c:axId val="250958208"/>
      </c:barChart>
      <c:catAx>
        <c:axId val="25095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958208"/>
        <c:crosses val="autoZero"/>
        <c:auto val="1"/>
        <c:lblAlgn val="ctr"/>
        <c:lblOffset val="100"/>
        <c:noMultiLvlLbl val="1"/>
      </c:catAx>
      <c:valAx>
        <c:axId val="250958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95641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44086021505"/>
          <c:y val="0.0458700191212994"/>
          <c:w val="0.86985658238884"/>
          <c:h val="0.8377514524128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'[8]BGA 05_Diagramme'!$H$47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'[8]BGA 05_Diagramme'!$C$49:$C$60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'[8]BGA 05_Diagramme'!$H$49:$H$60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'[8]BGA 05_Diagramme'!$I$47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'[8]BGA 05_Diagramme'!$C$49:$C$60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'[8]BGA 05_Diagramme'!$I$49:$I$60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1004416"/>
        <c:axId val="251005952"/>
      </c:barChart>
      <c:catAx>
        <c:axId val="25100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1005952"/>
        <c:crosses val="autoZero"/>
        <c:auto val="1"/>
        <c:lblAlgn val="ctr"/>
        <c:lblOffset val="100"/>
        <c:noMultiLvlLbl val="0"/>
      </c:catAx>
      <c:valAx>
        <c:axId val="251005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10044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80656349898285"/>
          <c:y val="0.0565375063188202"/>
          <c:w val="0.76417407730311"/>
          <c:h val="0.0763079042030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'[9]BGA 06_Diagramme'!$F$2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'[9]BGA 06_Diagramme'!$C$4:$C$15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'[9]BGA 06_Diagramme'!$F$4:$F$15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'[9]BGA 06_Diagramme'!$I$2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'[9]BGA 06_Diagramme'!$C$4:$C$15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'[9]BGA 06_Diagramme'!$I$4:$I$15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4"/>
          <c:tx>
            <c:strRef>
              <c:f>'[9]BGA 06_Diagramme'!$H$2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'[9]BGA 06_Diagramme'!$C$4:$C$15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'[9]BGA 06_Diagramme'!$H$4:$H$15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5"/>
          <c:tx>
            <c:strRef>
              <c:f>'[9]BGA 06_Diagramme'!$J$2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'[9]BGA 06_Diagramme'!$C$4:$C$15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'[9]BGA 06_Diagramme'!$J$4:$J$15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6159616"/>
        <c:axId val="2510319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'[9]BGA 06_Diagramme'!$D$2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'[9]BGA 06_Diagramme'!$C$4:$C$15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'[9]BGA 06_Diagramme'!$D$4:$D$15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1"/>
                <c:tx>
                  <c:strRef>
                    <c:extLst>
                      <c:ext uri="{02D57815-91ED-43cb-92C2-25804820EDAC}">
                        <c15:formulaRef>
                          <c15:sqref>'[9]BGA 06_Diagramme'!$E$2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75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'[9]BGA 06_Diagramme'!$C$4:$C$15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'[9]BGA 06_Diagramme'!$E$4:$E$15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'[9]BGA 06_Diagramme'!$G$2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'[9]BGA 06_Diagramme'!$C$4:$C$15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'[9]BGA 06_Diagramme'!$G$4:$G$15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'[9]BGA 06_Diagramme'!$P$2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'[9]BGA 06_Diagramme'!$Q$2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'[9]BGA 06_Diagramme'!$R$2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06_Diagramme'!$R$4:$R$15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'[9]BGA 06_Diagramme'!$S$2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06_Diagramme'!$S$4:$S$15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'[9]BGA 06_Diagramme'!$T$2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'[9]BGA 06_Diagramme'!$U$2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06_Diagramme'!$U$4:$U$15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'[9]BGA 06_Diagramme'!$K$2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06_Diagramme'!$K$4:$K$15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'[9]BGA 06_Diagramme'!$L$2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'[9]BGA 06_Diagramme'!$M$2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'[9]BGA 06_Diagramme'!$N$2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'[9]BGA 06_Diagramme'!$O$2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'[9]BGA 06_Diagramme'!$O$4:$O$15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'[9]BGA 06_Diagramme'!$Z$4:$Z$15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056512"/>
        <c:axId val="251033856"/>
      </c:lineChart>
      <c:dateAx>
        <c:axId val="2461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031936"/>
        <c:crosses val="autoZero"/>
        <c:auto val="0"/>
        <c:lblAlgn val="ctr"/>
        <c:lblOffset val="100"/>
        <c:baseTimeUnit val="days"/>
      </c:dateAx>
      <c:valAx>
        <c:axId val="25103193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6159616"/>
        <c:crosses val="autoZero"/>
        <c:crossBetween val="between"/>
      </c:valAx>
      <c:catAx>
        <c:axId val="25105651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033856"/>
        <c:crosses val="autoZero"/>
        <c:auto val="1"/>
        <c:lblAlgn val="ctr"/>
        <c:lblOffset val="100"/>
        <c:noMultiLvlLbl val="0"/>
      </c:catAx>
      <c:valAx>
        <c:axId val="25103385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35042755614856"/>
              <c:y val="0.075429007010982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05651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0138915032679739"/>
          <c:y val="0.915569862590706"/>
          <c:w val="0.970110088006089"/>
          <c:h val="0.08443016512177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'[9]BGA 06_Diagramme'!$E$25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'[9]BGA 06_Diagramme'!$D$28:$D$39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'[9]BGA 06_Diagramme'!$E$28:$E$39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'[9]BGA 06_Diagramme'!$F$25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'[9]BGA 06_Diagramme'!$F$28:$F$39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46060928"/>
        <c:axId val="246062464"/>
      </c:barChart>
      <c:catAx>
        <c:axId val="24606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6062464"/>
        <c:crosses val="autoZero"/>
        <c:auto val="1"/>
        <c:lblAlgn val="ctr"/>
        <c:lblOffset val="100"/>
        <c:noMultiLvlLbl val="1"/>
      </c:catAx>
      <c:valAx>
        <c:axId val="246062464"/>
        <c:scaling>
          <c:orientation val="minMax"/>
          <c:max val="0.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6060928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33105658116823"/>
          <c:y val="0.0976635446865703"/>
          <c:w val="0.408148148875185"/>
          <c:h val="0.08104870092297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'[9]BGA 06_Diagramme'!$H$47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'[9]BGA 06_Diagramme'!$C$49:$C$60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'[9]BGA 06_Diagramme'!$H$49:$H$60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'[9]BGA 06_Diagramme'!$I$47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'[9]BGA 06_Diagramme'!$C$49:$C$60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'[9]BGA 06_Diagramme'!$I$49:$I$60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686848"/>
        <c:axId val="246688384"/>
      </c:barChart>
      <c:catAx>
        <c:axId val="24668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6688384"/>
        <c:crosses val="autoZero"/>
        <c:auto val="1"/>
        <c:lblAlgn val="ctr"/>
        <c:lblOffset val="100"/>
        <c:noMultiLvlLbl val="0"/>
      </c:catAx>
      <c:valAx>
        <c:axId val="246688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Auslastung</a:t>
                </a:r>
                <a:r>
                  <a:rPr lang="de-DE" b="1" baseline="0"/>
                  <a:t> [%]</a:t>
                </a:r>
                <a:endParaRPr lang="de-DE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668684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687574812311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'[10]BGA 07_Diagramme'!$D$2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'[10]BGA 07_Diagramme'!$C$4:$C$15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'[10]BGA 07_Diagramme'!$D$4:$D$15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1"/>
          <c:tx>
            <c:strRef>
              <c:f>'[10]BGA 07_Diagramme'!$E$2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'[10]BGA 07_Diagramme'!$C$4:$C$15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'[10]BGA 07_Diagramme'!$E$4:$E$15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'[10]BGA 07_Diagramme'!$F$2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'[10]BGA 07_Diagramme'!$C$4:$C$15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'[10]BGA 07_Diagramme'!$F$4:$F$15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'[10]BGA 07_Diagramme'!$I$2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'[10]BGA 07_Diagramme'!$C$4:$C$15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'[10]BGA 07_Diagramme'!$I$4:$I$15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4"/>
          <c:tx>
            <c:strRef>
              <c:f>'[10]BGA 07_Diagramme'!$H$2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'[10]BGA 07_Diagramme'!$C$4:$C$15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'[10]BGA 07_Diagramme'!$H$4:$H$15</c:f>
              <c:numCache>
                <c:formatCode>General</c:formatCode>
                <c:ptCount val="12"/>
              </c:numCache>
            </c:numRef>
          </c:val>
        </c:ser>
        <c:ser>
          <c:idx val="11"/>
          <c:order val="11"/>
          <c:tx>
            <c:strRef>
              <c:f>'[10]BGA 07_Diagramme'!$S$2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noFill/>
            </a:ln>
          </c:spPr>
          <c:invertIfNegative val="0"/>
          <c:dLbls>
            <c:delete val="1"/>
          </c:dLbls>
          <c:val>
            <c:numRef>
              <c:f>'[10]BGA 07_Diagramme'!$S$4:$S$15</c:f>
              <c:numCache>
                <c:formatCode>General</c:formatCode>
                <c:ptCount val="12"/>
              </c:numCache>
            </c:numRef>
          </c:val>
        </c:ser>
        <c:ser>
          <c:idx val="14"/>
          <c:order val="14"/>
          <c:tx>
            <c:strRef>
              <c:f>'[10]BGA 07_Diagramme'!$K$2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noFill/>
            </a:ln>
          </c:spPr>
          <c:invertIfNegative val="0"/>
          <c:dLbls>
            <c:delete val="1"/>
          </c:dLbls>
          <c:val>
            <c:numRef>
              <c:f>'[10]BGA 07_Diagramme'!$K$4:$K$15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1835520"/>
        <c:axId val="251837440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'[10]BGA 07_Diagramme'!$J$2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'[10]BGA 07_Diagramme'!$C$4:$C$15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'[10]BGA 07_Diagramme'!$J$4:$J$15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'[10]BGA 07_Diagramme'!$G$2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'[10]BGA 07_Diagramme'!$C$4:$C$15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'[10]BGA 07_Diagramme'!$G$4:$G$15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'[10]BGA 07_Diagramme'!$P$2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'[10]BGA 07_Diagramme'!$P$4:$P$15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'[10]BGA 07_Diagramme'!$Q$2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'[10]BGA 07_Diagramme'!$Q$4:$Q$15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'[10]BGA 07_Diagramme'!$R$2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'[10]BGA 07_Diagramme'!$R$4:$R$15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'[10]BGA 07_Diagramme'!$T$2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'[10]BGA 07_Diagramme'!$T$4:$T$15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'[10]BGA 07_Diagramme'!$U$2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'[10]BGA 07_Diagramme'!$U$4:$U$15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'[10]BGA 07_Diagramme'!$L$2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'[10]BGA 07_Diagramme'!$L$4:$L$15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'[10]BGA 07_Diagramme'!$M$2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'[10]BGA 07_Diagramme'!$M$4:$M$15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'[10]BGA 07_Diagramme'!$N$2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'[10]BGA 07_Diagramme'!$N$4:$N$15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'[10]BGA 07_Diagramme'!$O$2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'[10]BGA 07_Diagramme'!$O$4:$O$15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'[10]BGA 07_Diagramme'!$Z$4:$Z$15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845632"/>
        <c:axId val="251843712"/>
      </c:lineChart>
      <c:dateAx>
        <c:axId val="25183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837440"/>
        <c:crosses val="autoZero"/>
        <c:auto val="0"/>
        <c:lblAlgn val="ctr"/>
        <c:lblOffset val="100"/>
        <c:baseTimeUnit val="days"/>
      </c:dateAx>
      <c:valAx>
        <c:axId val="2518374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835520"/>
        <c:crosses val="autoZero"/>
        <c:crossBetween val="between"/>
      </c:valAx>
      <c:catAx>
        <c:axId val="25184563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843712"/>
        <c:crosses val="autoZero"/>
        <c:auto val="1"/>
        <c:lblAlgn val="ctr"/>
        <c:lblOffset val="100"/>
        <c:noMultiLvlLbl val="0"/>
      </c:catAx>
      <c:valAx>
        <c:axId val="25184371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84563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0138915032679739"/>
          <c:y val="0.830693724814331"/>
          <c:w val="0.966220485342783"/>
          <c:h val="0.16930627518566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'[10]BGA 07_Diagramme'!$E$25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'[10]BGA 07_Diagramme'!$D$28:$D$39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'[10]BGA 07_Diagramme'!$E$28:$E$39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'[10]BGA 07_Diagramme'!$F$25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'[10]BGA 07_Diagramme'!$F$28:$F$39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1896960"/>
        <c:axId val="251898496"/>
      </c:barChart>
      <c:catAx>
        <c:axId val="2518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1898496"/>
        <c:crosses val="autoZero"/>
        <c:auto val="1"/>
        <c:lblAlgn val="ctr"/>
        <c:lblOffset val="100"/>
        <c:noMultiLvlLbl val="1"/>
      </c:catAx>
      <c:valAx>
        <c:axId val="2518984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1896960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3125839002192"/>
          <c:y val="0.0928606923217139"/>
          <c:w val="0.46216334968839"/>
          <c:h val="0.08104870092297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'[10]BGA 07_Diagramme'!$H$47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'[10]BGA 07_Diagramme'!$C$49:$C$60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'[10]BGA 07_Diagramme'!$H$49:$H$60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1931264"/>
        <c:axId val="2519371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'[10]BGA 07_Diagramme'!$I$47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'[10]BGA 07_Diagramme'!$C$49:$C$60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'[10]BGA 07_Diagramme'!$I$49:$I$60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catAx>
        <c:axId val="25193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1937152"/>
        <c:crosses val="autoZero"/>
        <c:auto val="1"/>
        <c:lblAlgn val="ctr"/>
        <c:lblOffset val="100"/>
        <c:noMultiLvlLbl val="0"/>
      </c:catAx>
      <c:valAx>
        <c:axId val="251937152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19312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'[11]BGA 08_Diagramme'!$F$2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'[11]BGA 08_Diagramme'!$C$4:$C$15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'[11]BGA 08_Diagramme'!$F$4:$F$15</c:f>
              <c:numCache>
                <c:formatCode>General</c:formatCode>
                <c:ptCount val="12"/>
              </c:numCache>
            </c:numRef>
          </c:val>
        </c:ser>
        <c:ser>
          <c:idx val="13"/>
          <c:order val="13"/>
          <c:tx>
            <c:strRef>
              <c:f>'[11]BGA 08_Diagramme'!$U$2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'[11]BGA 08_Diagramme'!$U$4:$U$15</c:f>
              <c:numCache>
                <c:formatCode>General</c:formatCode>
                <c:ptCount val="12"/>
              </c:numCache>
            </c:numRef>
          </c:val>
        </c:ser>
        <c:ser>
          <c:idx val="14"/>
          <c:order val="14"/>
          <c:tx>
            <c:strRef>
              <c:f>'[11]BGA 08_Diagramme'!$K$2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'[11]BGA 08_Diagramme'!$K$4:$K$15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1393152"/>
        <c:axId val="251395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'[11]BGA 08_Diagramme'!$D$2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solidFill>
                      <a:schemeClr val="accent4">
                        <a:lumMod val="5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'[11]BGA 08_Diagramme'!$C$4:$C$15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'[11]BGA 08_Diagramme'!$D$4:$D$15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1"/>
                <c:tx>
                  <c:strRef>
                    <c:extLst>
                      <c:ext uri="{02D57815-91ED-43cb-92C2-25804820EDAC}">
                        <c15:formulaRef>
                          <c15:sqref>'[11]BGA 08_Diagramme'!$E$2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75000"/>
                    </a:schemeClr>
                  </a:solidFill>
                  <a:ln>
                    <a:solidFill>
                      <a:schemeClr val="accent4">
                        <a:lumMod val="75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'[11]BGA 08_Diagramme'!$C$4:$C$15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'[11]BGA 08_Diagramme'!$E$4:$E$15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'[11]BGA 08_Diagramme'!$I$2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92D050"/>
                  </a:solidFill>
                  <a:ln>
                    <a:solidFill>
                      <a:srgbClr val="92D050"/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'[11]BGA 08_Diagramme'!$C$4:$C$15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'[11]BGA 08_Diagramme'!$I$4:$I$15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2"/>
                <c:order val="4"/>
                <c:tx>
                  <c:strRef>
                    <c:extLst>
                      <c:ext uri="{02D57815-91ED-43cb-92C2-25804820EDAC}">
                        <c15:formulaRef>
                          <c15:sqref>'[11]BGA 08_Diagramme'!$H$2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'[11]BGA 08_Diagramme'!$C$4:$C$15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'[11]BGA 08_Diagramme'!$H$4:$H$15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'[11]BGA 08_Diagramme'!$J$2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solidFill>
                      <a:schemeClr val="accent2"/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'[11]BGA 08_Diagramme'!$C$4:$C$15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'[11]BGA 08_Diagramme'!$J$4:$J$15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'[11]BGA 08_Diagramme'!$G$2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'[11]BGA 08_Diagramme'!$C$4:$C$15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'[11]BGA 08_Diagramme'!$G$4:$G$15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'[11]BGA 08_Diagramme'!$P$2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solidFill>
                      <a:schemeClr val="accent4"/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'[11]BGA 08_Diagramme'!$P$4:$P$15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'[11]BGA 08_Diagramme'!$Q$2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'[11]BGA 08_Diagramme'!$Q$4:$Q$15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'[11]BGA 08_Diagramme'!$R$2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'[11]BGA 08_Diagramme'!$R$4:$R$15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'[11]BGA 08_Diagramme'!$S$2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'[11]BGA 08_Diagramme'!$S$4:$S$15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'[11]BGA 08_Diagramme'!$T$2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'[11]BGA 08_Diagramme'!$T$4:$T$15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'[11]BGA 08_Diagramme'!$L$2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'[11]BGA 08_Diagramme'!$L$4:$L$15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'[11]BGA 08_Diagramme'!$M$2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'[11]BGA 08_Diagramme'!$M$4:$M$15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'[11]BGA 08_Diagramme'!$N$2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'[11]BGA 08_Diagramme'!$N$4:$N$15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'[11]BGA 08_Diagramme'!$O$2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'[11]BGA 08_Diagramme'!$O$4:$O$15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'[11]BGA 08_Diagramme'!$Z$4:$Z$15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407360"/>
        <c:axId val="251405440"/>
      </c:lineChart>
      <c:dateAx>
        <c:axId val="25139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395072"/>
        <c:crosses val="autoZero"/>
        <c:auto val="0"/>
        <c:lblAlgn val="ctr"/>
        <c:lblOffset val="100"/>
        <c:baseTimeUnit val="days"/>
      </c:dateAx>
      <c:valAx>
        <c:axId val="25139507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393152"/>
        <c:crosses val="autoZero"/>
        <c:crossBetween val="between"/>
      </c:valAx>
      <c:catAx>
        <c:axId val="25140736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405440"/>
        <c:crosses val="autoZero"/>
        <c:auto val="1"/>
        <c:lblAlgn val="ctr"/>
        <c:lblOffset val="100"/>
        <c:noMultiLvlLbl val="0"/>
      </c:catAx>
      <c:valAx>
        <c:axId val="251405440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407360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0318949346405229"/>
          <c:y val="0.879926176176176"/>
          <c:w val="0.860895261437909"/>
          <c:h val="0.08443016512177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'[11]BGA 08_Diagramme'!$D$25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'[11]BGA 08_Diagramme'!$D$28:$D$39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'[11]BGA 08_Diagramme'!$E$28:$E$39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1445248"/>
        <c:axId val="251446784"/>
      </c:barChart>
      <c:catAx>
        <c:axId val="2514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1446784"/>
        <c:crosses val="autoZero"/>
        <c:auto val="1"/>
        <c:lblAlgn val="ctr"/>
        <c:lblOffset val="100"/>
        <c:noMultiLvlLbl val="1"/>
      </c:catAx>
      <c:valAx>
        <c:axId val="2514467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1445248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'[11]BGA 08_Diagramme'!$H$47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'[11]BGA 08_Diagramme'!$C$49:$C$60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'[11]BGA 08_Diagramme'!$H$49:$H$60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1614720"/>
        <c:axId val="25161625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'[11]BGA 08_Diagramme'!$I$47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'[11]BGA 08_Diagramme'!$C$49:$C$60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'[11]BGA 08_Diagramme'!$I$49:$I$60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catAx>
        <c:axId val="25161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1616256"/>
        <c:crosses val="autoZero"/>
        <c:auto val="1"/>
        <c:lblAlgn val="ctr"/>
        <c:lblOffset val="100"/>
        <c:noMultiLvlLbl val="0"/>
      </c:catAx>
      <c:valAx>
        <c:axId val="251616256"/>
        <c:scaling>
          <c:orientation val="minMax"/>
          <c:max val="1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1614720"/>
        <c:crosses val="autoZero"/>
        <c:crossBetween val="between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877957516339869"/>
          <c:y val="0.0502593799151502"/>
          <c:w val="0.817352450980392"/>
          <c:h val="0.724804506126424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'[14]BGA 09_Diagramme'!$G$2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'[14]BGA 09_Diagramme'!$A$4:$A$15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'[14]BGA 09_Diagramme'!$G$4:$G$15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'[14]BGA 09_Diagramme'!$H$2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75000"/>
              </a:srgb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'[14]BGA 09_Diagramme'!$A$4:$A$15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'[14]BGA 09_Diagramme'!$H$4:$H$15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2"/>
          <c:tx>
            <c:strRef>
              <c:f>'[14]BGA 09_Diagramme'!$F$2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val>
            <c:numRef>
              <c:f>'[14]BGA 09_Diagramme'!$F$4:$F$15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3"/>
          <c:tx>
            <c:strRef>
              <c:f>'[14]BGA 09_Diagramme'!$C$2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</c:spPr>
          <c:invertIfNegative val="0"/>
          <c:dLbls>
            <c:delete val="1"/>
          </c:dLbls>
          <c:val>
            <c:numRef>
              <c:f>'[14]BGA 09_Diagramme'!$C$4:$C$15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4"/>
          <c:tx>
            <c:strRef>
              <c:f>'[14]BGA 09_Diagramme'!$D$2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ED7D31"/>
            </a:solidFill>
          </c:spPr>
          <c:invertIfNegative val="0"/>
          <c:dLbls>
            <c:delete val="1"/>
          </c:dLbls>
          <c:val>
            <c:numRef>
              <c:f>'[14]BGA 09_Diagramme'!$D$4:$D$15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5"/>
          <c:tx>
            <c:strRef>
              <c:f>'[14]BGA 09_Diagramme'!$B$2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'[14]BGA 09_Diagramme'!$B$4:$B$15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6"/>
          <c:tx>
            <c:strRef>
              <c:f>'[14]BGA 09_Diagramme'!$I$2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'[14]BGA 09_Diagramme'!$I$4:$I$15</c:f>
              <c:numCache>
                <c:formatCode>General</c:formatCode>
                <c:ptCount val="12"/>
              </c:numCache>
            </c:numRef>
          </c:val>
        </c:ser>
        <c:ser>
          <c:idx val="7"/>
          <c:order val="7"/>
          <c:tx>
            <c:strRef>
              <c:f>'[14]BGA 09_Diagramme'!$E$2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val>
            <c:numRef>
              <c:f>'[14]BGA 09_Diagramme'!$E$4:$E$15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51725696"/>
        <c:axId val="251731968"/>
      </c:barChart>
      <c:lineChart>
        <c:grouping val="stacked"/>
        <c:varyColors val="0"/>
        <c:ser>
          <c:idx val="8"/>
          <c:order val="8"/>
          <c:tx>
            <c:strRef>
              <c:f>'[14]BGA 09_Diagramme'!$J$2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ysClr val="windowText" lastClr="000000"/>
              </a:solidFill>
              <a:ln w="9525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'[14]BGA 09_Diagramme'!$J$4:$J$15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744256"/>
        <c:axId val="251733888"/>
      </c:lineChart>
      <c:catAx>
        <c:axId val="2517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731968"/>
        <c:crosses val="autoZero"/>
        <c:auto val="1"/>
        <c:lblAlgn val="ctr"/>
        <c:lblOffset val="100"/>
        <c:noMultiLvlLbl val="1"/>
      </c:catAx>
      <c:valAx>
        <c:axId val="2517319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725696"/>
        <c:crosses val="autoZero"/>
        <c:crossBetween val="between"/>
      </c:valAx>
      <c:catAx>
        <c:axId val="25174425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733888"/>
        <c:crosses val="autoZero"/>
        <c:auto val="1"/>
        <c:lblAlgn val="ctr"/>
        <c:lblOffset val="100"/>
        <c:noMultiLvlLbl val="0"/>
      </c:catAx>
      <c:valAx>
        <c:axId val="251733888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1744256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0131135620915033"/>
          <c:y val="0.853371871871872"/>
          <c:w val="0.958740359477124"/>
          <c:h val="0.14592817817817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Fütterungsmenge BGA Gesamt</a:t>
            </a:r>
            <a:endParaRPr lang="de-DE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94951346296277"/>
          <c:y val="0.131760386502607"/>
          <c:w val="0.701478758588206"/>
          <c:h val="0.698866609285175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[12]Auswertung!$Q$2</c:f>
              <c:strCache>
                <c:ptCount val="1"/>
                <c:pt idx="0">
                  <c:v>Futterreste + 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[12]Auswertung!$K$4:$K$15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[12]Auswertung!$Q$4:$Q$15</c:f>
              <c:numCache>
                <c:formatCode>General</c:formatCode>
                <c:ptCount val="12"/>
                <c:pt idx="0">
                  <c:v>4.47894893998208</c:v>
                </c:pt>
                <c:pt idx="1">
                  <c:v>4.67241826282504</c:v>
                </c:pt>
                <c:pt idx="2">
                  <c:v>4.2032348095094</c:v>
                </c:pt>
                <c:pt idx="3">
                  <c:v>5.19053621252935</c:v>
                </c:pt>
                <c:pt idx="4">
                  <c:v>4.5522308280596</c:v>
                </c:pt>
                <c:pt idx="5">
                  <c:v>4.78488523110996</c:v>
                </c:pt>
                <c:pt idx="6">
                  <c:v>4.26979130912903</c:v>
                </c:pt>
                <c:pt idx="7">
                  <c:v>4.52330951861131</c:v>
                </c:pt>
                <c:pt idx="8">
                  <c:v>4.62815326532635</c:v>
                </c:pt>
                <c:pt idx="9">
                  <c:v>4.91525445944653</c:v>
                </c:pt>
                <c:pt idx="10">
                  <c:v>4.72412914488995</c:v>
                </c:pt>
                <c:pt idx="11">
                  <c:v>4.45349573556234</c:v>
                </c:pt>
              </c:numCache>
            </c:numRef>
          </c:val>
        </c:ser>
        <c:ser>
          <c:idx val="6"/>
          <c:order val="1"/>
          <c:tx>
            <c:strRef>
              <c:f>[12]Auswertung!$R$2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[12]Auswertung!$K$4:$K$15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[12]Auswertung!$R$4:$R$15</c:f>
              <c:numCache>
                <c:formatCode>General</c:formatCode>
                <c:ptCount val="12"/>
                <c:pt idx="0">
                  <c:v>55.4792475365781</c:v>
                </c:pt>
                <c:pt idx="1">
                  <c:v>56.4910440292524</c:v>
                </c:pt>
                <c:pt idx="2">
                  <c:v>61.1990988264568</c:v>
                </c:pt>
                <c:pt idx="3">
                  <c:v>62.4873585327727</c:v>
                </c:pt>
                <c:pt idx="4">
                  <c:v>57.5636930515923</c:v>
                </c:pt>
                <c:pt idx="5">
                  <c:v>59.1275103558587</c:v>
                </c:pt>
                <c:pt idx="6">
                  <c:v>62.366500153988</c:v>
                </c:pt>
                <c:pt idx="7">
                  <c:v>59.5870640585063</c:v>
                </c:pt>
                <c:pt idx="8">
                  <c:v>58.6431807296836</c:v>
                </c:pt>
                <c:pt idx="9">
                  <c:v>57.1480251818316</c:v>
                </c:pt>
                <c:pt idx="10">
                  <c:v>49.7405081578091</c:v>
                </c:pt>
                <c:pt idx="11">
                  <c:v>50.5687257715466</c:v>
                </c:pt>
              </c:numCache>
            </c:numRef>
          </c:val>
        </c:ser>
        <c:ser>
          <c:idx val="1"/>
          <c:order val="2"/>
          <c:tx>
            <c:strRef>
              <c:f>[12]Auswertung!$M$2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[12]Auswertung!$K$4:$K$15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[12]Auswertung!$M$4:$M$15</c:f>
              <c:numCache>
                <c:formatCode>General</c:formatCode>
                <c:ptCount val="12"/>
                <c:pt idx="0">
                  <c:v>1.58256195879367</c:v>
                </c:pt>
                <c:pt idx="1">
                  <c:v>2.0679218892245</c:v>
                </c:pt>
                <c:pt idx="2">
                  <c:v>2.18568210094489</c:v>
                </c:pt>
                <c:pt idx="3">
                  <c:v>1.03140977642519</c:v>
                </c:pt>
                <c:pt idx="4">
                  <c:v>2.03235079549499</c:v>
                </c:pt>
                <c:pt idx="5">
                  <c:v>2.01648734739634</c:v>
                </c:pt>
                <c:pt idx="6">
                  <c:v>1.70791652365161</c:v>
                </c:pt>
                <c:pt idx="7">
                  <c:v>1.11574968125746</c:v>
                </c:pt>
                <c:pt idx="8">
                  <c:v>1.80945863147598</c:v>
                </c:pt>
                <c:pt idx="9">
                  <c:v>1.82192098630151</c:v>
                </c:pt>
                <c:pt idx="10">
                  <c:v>1.85771044928602</c:v>
                </c:pt>
                <c:pt idx="11">
                  <c:v>3.18927759127368</c:v>
                </c:pt>
              </c:numCache>
            </c:numRef>
          </c:val>
        </c:ser>
        <c:ser>
          <c:idx val="2"/>
          <c:order val="3"/>
          <c:tx>
            <c:strRef>
              <c:f>[12]Auswertung!$N$2</c:f>
              <c:strCache>
                <c:ptCount val="1"/>
                <c:pt idx="0">
                  <c:v>Roggen-GPS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[12]Auswertung!$K$4:$K$15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[12]Auswertung!$N$4:$N$15</c:f>
              <c:numCache>
                <c:formatCode>General</c:formatCode>
                <c:ptCount val="12"/>
                <c:pt idx="0">
                  <c:v>4.59540161242162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6.53886131249091</c:v>
                </c:pt>
                <c:pt idx="10">
                  <c:v>18.9451598706259</c:v>
                </c:pt>
                <c:pt idx="11">
                  <c:v>20.4584974422568</c:v>
                </c:pt>
              </c:numCache>
            </c:numRef>
          </c:val>
        </c:ser>
        <c:ser>
          <c:idx val="4"/>
          <c:order val="4"/>
          <c:tx>
            <c:strRef>
              <c:f>[12]Auswertung!$P$2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[12]Auswertung!$K$4:$K$15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[12]Auswertung!$P$4:$P$15</c:f>
              <c:numCache>
                <c:formatCode>General</c:formatCode>
                <c:ptCount val="12"/>
                <c:pt idx="0">
                  <c:v>31.1024186324276</c:v>
                </c:pt>
                <c:pt idx="1">
                  <c:v>33.8904061687979</c:v>
                </c:pt>
                <c:pt idx="2">
                  <c:v>29.266283331652</c:v>
                </c:pt>
                <c:pt idx="3">
                  <c:v>26.9230099484161</c:v>
                </c:pt>
                <c:pt idx="4">
                  <c:v>33.0085487958028</c:v>
                </c:pt>
                <c:pt idx="5">
                  <c:v>30.2354163533706</c:v>
                </c:pt>
                <c:pt idx="6">
                  <c:v>28.9616914323745</c:v>
                </c:pt>
                <c:pt idx="7">
                  <c:v>30.9129003581255</c:v>
                </c:pt>
                <c:pt idx="8">
                  <c:v>29.9537662418321</c:v>
                </c:pt>
                <c:pt idx="9">
                  <c:v>26.3373752016893</c:v>
                </c:pt>
                <c:pt idx="10">
                  <c:v>21.8132853483725</c:v>
                </c:pt>
                <c:pt idx="11">
                  <c:v>18.5866500862542</c:v>
                </c:pt>
              </c:numCache>
            </c:numRef>
          </c:val>
        </c:ser>
        <c:ser>
          <c:idx val="3"/>
          <c:order val="5"/>
          <c:tx>
            <c:strRef>
              <c:f>[12]Auswertung!$O$2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[12]Auswertung!$K$4:$K$15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[12]Auswertung!$O$4:$O$15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0.554266563547306</c:v>
                </c:pt>
                <c:pt idx="3">
                  <c:v>1.17031522293855</c:v>
                </c:pt>
                <c:pt idx="4">
                  <c:v>0.0390023389655687</c:v>
                </c:pt>
                <c:pt idx="5">
                  <c:v>0.880008749504423</c:v>
                </c:pt>
                <c:pt idx="6">
                  <c:v>0.0639091344334152</c:v>
                </c:pt>
                <c:pt idx="7">
                  <c:v>1.07220528829162</c:v>
                </c:pt>
                <c:pt idx="8">
                  <c:v>2.11449872024097</c:v>
                </c:pt>
                <c:pt idx="9">
                  <c:v>0.208144642176029</c:v>
                </c:pt>
                <c:pt idx="10">
                  <c:v>0.00914347576430314</c:v>
                </c:pt>
                <c:pt idx="11">
                  <c:v>0</c:v>
                </c:pt>
              </c:numCache>
            </c:numRef>
          </c:val>
        </c:ser>
        <c:ser>
          <c:idx val="0"/>
          <c:order val="7"/>
          <c:tx>
            <c:strRef>
              <c:f>[12]Auswertung!$L$2</c:f>
              <c:strCache>
                <c:ptCount val="1"/>
                <c:pt idx="0">
                  <c:v>Prozesswasser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[12]Auswertung!$K$4:$K$15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[12]Auswertung!$L$4:$L$15</c:f>
              <c:numCache>
                <c:formatCode>General</c:formatCode>
                <c:ptCount val="12"/>
                <c:pt idx="0">
                  <c:v>2.68736936398925</c:v>
                </c:pt>
                <c:pt idx="1">
                  <c:v>2.80345095769502</c:v>
                </c:pt>
                <c:pt idx="2">
                  <c:v>2.52194088570564</c:v>
                </c:pt>
                <c:pt idx="3">
                  <c:v>3.11432172751761</c:v>
                </c:pt>
                <c:pt idx="4">
                  <c:v>2.73133849683576</c:v>
                </c:pt>
                <c:pt idx="5">
                  <c:v>2.87093113866597</c:v>
                </c:pt>
                <c:pt idx="6">
                  <c:v>2.56187478547742</c:v>
                </c:pt>
                <c:pt idx="7">
                  <c:v>2.71398571116678</c:v>
                </c:pt>
                <c:pt idx="8">
                  <c:v>2.77689195919581</c:v>
                </c:pt>
                <c:pt idx="9">
                  <c:v>2.94915267566792</c:v>
                </c:pt>
                <c:pt idx="10">
                  <c:v>2.83447748693397</c:v>
                </c:pt>
                <c:pt idx="11">
                  <c:v>2.67209744133741</c:v>
                </c:pt>
              </c:numCache>
            </c:numRef>
          </c:val>
        </c:ser>
        <c:ser>
          <c:idx val="8"/>
          <c:order val="8"/>
          <c:tx>
            <c:strRef>
              <c:f>[12]Auswertung!$T$2</c:f>
              <c:strCache>
                <c:ptCount val="1"/>
                <c:pt idx="0">
                  <c:v>Rezirkulat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[12]Auswertung!$K$4:$K$15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[12]Auswertung!$T$4:$T$15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[12]Auswertung!$U$2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[12]Auswertung!$K$4:$K$15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[12]Auswertung!$U$4:$U$15</c:f>
              <c:numCache>
                <c:formatCode>General</c:formatCode>
                <c:ptCount val="12"/>
                <c:pt idx="0">
                  <c:v>0.0740519558077038</c:v>
                </c:pt>
                <c:pt idx="1">
                  <c:v>0.0747586922052006</c:v>
                </c:pt>
                <c:pt idx="2">
                  <c:v>0.0694934821838887</c:v>
                </c:pt>
                <c:pt idx="3">
                  <c:v>0.0830485794004696</c:v>
                </c:pt>
                <c:pt idx="4">
                  <c:v>0.0728356932489536</c:v>
                </c:pt>
                <c:pt idx="5">
                  <c:v>0.0847608240939478</c:v>
                </c:pt>
                <c:pt idx="6">
                  <c:v>0.0683166609460645</c:v>
                </c:pt>
                <c:pt idx="7">
                  <c:v>0.0747853840410403</c:v>
                </c:pt>
                <c:pt idx="8">
                  <c:v>0.0740504522452217</c:v>
                </c:pt>
                <c:pt idx="9">
                  <c:v>0.0812655403961826</c:v>
                </c:pt>
                <c:pt idx="10">
                  <c:v>0.0755860663182393</c:v>
                </c:pt>
                <c:pt idx="11">
                  <c:v>0.0712559317689975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52737792"/>
        <c:axId val="252760448"/>
      </c:barChart>
      <c:lineChart>
        <c:grouping val="stacked"/>
        <c:varyColors val="0"/>
        <c:ser>
          <c:idx val="10"/>
          <c:order val="10"/>
          <c:tx>
            <c:strRef>
              <c:f>"Güllebonus"</c:f>
              <c:strCache>
                <c:ptCount val="1"/>
                <c:pt idx="0">
                  <c:v>Güllebonus</c:v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{30,30,30,30,30,30,30,30,30,30,30,30}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52737792"/>
        <c:axId val="252760448"/>
      </c:lineChart>
      <c:lineChart>
        <c:grouping val="stacked"/>
        <c:varyColors val="0"/>
        <c:ser>
          <c:idx val="7"/>
          <c:order val="6"/>
          <c:tx>
            <c:strRef>
              <c:f>[12]Auswertung!$S$2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[12]Auswertung!$S$4:$S$15</c:f>
              <c:numCache>
                <c:formatCode>General</c:formatCode>
                <c:ptCount val="12"/>
                <c:pt idx="0">
                  <c:v>55.8166666666667</c:v>
                </c:pt>
                <c:pt idx="1">
                  <c:v>53.5054838709677</c:v>
                </c:pt>
                <c:pt idx="2">
                  <c:v>59.478</c:v>
                </c:pt>
                <c:pt idx="3">
                  <c:v>48.1645806451613</c:v>
                </c:pt>
                <c:pt idx="4">
                  <c:v>54.9181290322581</c:v>
                </c:pt>
                <c:pt idx="5">
                  <c:v>52.2478571428571</c:v>
                </c:pt>
                <c:pt idx="6">
                  <c:v>58.5508709677419</c:v>
                </c:pt>
                <c:pt idx="7">
                  <c:v>55.2692666666667</c:v>
                </c:pt>
                <c:pt idx="8">
                  <c:v>54.0172258064516</c:v>
                </c:pt>
                <c:pt idx="9">
                  <c:v>50.8620666666667</c:v>
                </c:pt>
                <c:pt idx="10">
                  <c:v>52.9198064516129</c:v>
                </c:pt>
                <c:pt idx="11">
                  <c:v>56.1356774193548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449152"/>
        <c:axId val="252762368"/>
      </c:lineChart>
      <c:catAx>
        <c:axId val="25273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2760448"/>
        <c:crosses val="autoZero"/>
        <c:auto val="1"/>
        <c:lblAlgn val="ctr"/>
        <c:lblOffset val="100"/>
        <c:noMultiLvlLbl val="0"/>
      </c:catAx>
      <c:valAx>
        <c:axId val="2527604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Frischmassantrag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2737792"/>
        <c:crosses val="autoZero"/>
        <c:crossBetween val="between"/>
      </c:valAx>
      <c:catAx>
        <c:axId val="252449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762368"/>
        <c:crosses val="autoZero"/>
        <c:auto val="1"/>
        <c:lblAlgn val="ctr"/>
        <c:lblOffset val="100"/>
        <c:noMultiLvlLbl val="0"/>
      </c:catAx>
      <c:valAx>
        <c:axId val="2527623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aseline="0">
                    <a:effectLst/>
                  </a:rPr>
                  <a:t>mittlerer täglicher Frischmasseeintrag [t/d]</a:t>
                </a:r>
                <a:endParaRPr lang="de-DE" sz="1200" baseline="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2449152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862309945212571"/>
          <c:y val="0.243968446378614"/>
          <c:w val="0.137690083928066"/>
          <c:h val="0.455468774905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274136267673"/>
          <c:y val="0.0468739252466585"/>
          <c:w val="0.874534725049608"/>
          <c:h val="0.8292366462159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'[14]BGA 09_Diagramme'!$F$53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'[14]BGA 09_Diagramme'!$A$55:$A$66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'[14]BGA 09_Diagramme'!$F$55:$F$66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'[14]BGA 09_Diagramme'!$G$53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'[14]BGA 09_Diagramme'!$A$55:$A$66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'[14]BGA 09_Diagramme'!$G$55:$G$66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2476032"/>
        <c:axId val="252494208"/>
      </c:barChart>
      <c:catAx>
        <c:axId val="25247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2494208"/>
        <c:crosses val="autoZero"/>
        <c:auto val="0"/>
        <c:lblAlgn val="ctr"/>
        <c:lblOffset val="100"/>
        <c:noMultiLvlLbl val="0"/>
      </c:catAx>
      <c:valAx>
        <c:axId val="252494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247603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95730149231201"/>
          <c:y val="0.0460085862830856"/>
          <c:w val="0.775870165617794"/>
          <c:h val="0.0719093658934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248039215686"/>
          <c:y val="0.0500058883096829"/>
          <c:w val="0.832156699346405"/>
          <c:h val="0.8361939393939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'[14]BGA 09_Diagramme'!$D$22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'[14]BGA 09_Diagramme'!$C$25:$C$36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'[14]BGA 09_Diagramme'!$D$25:$D$36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'[14]BGA 09_Diagramme'!$E$22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'[14]BGA 09_Diagramme'!$C$25:$C$36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'[14]BGA 09_Diagramme'!$E$25:$E$36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2520320"/>
        <c:axId val="252521856"/>
      </c:barChart>
      <c:catAx>
        <c:axId val="2525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2521856"/>
        <c:crosses val="autoZero"/>
        <c:auto val="1"/>
        <c:lblAlgn val="ctr"/>
        <c:lblOffset val="100"/>
        <c:noMultiLvlLbl val="1"/>
      </c:catAx>
      <c:valAx>
        <c:axId val="252521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0261885620915033"/>
              <c:y val="0.298298989898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2520320"/>
        <c:crosses val="autoZero"/>
        <c:crossBetween val="between"/>
        <c:majorUnit val="0.05"/>
        <c:minorUnit val="0.0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30883924495129"/>
          <c:y val="0.0575155402051958"/>
          <c:w val="0.828909612352463"/>
          <c:h val="0.0544908955551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960964052287582"/>
          <c:y val="0.0502593799151502"/>
          <c:w val="0.80596160130719"/>
          <c:h val="0.741932421601042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'[17]BGA 10_Diagramme'!$G$2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'[17]BGA 10_Diagramme'!$A$4:$A$15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'[17]BGA 10_Diagramme'!$G$4:$G$15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'[17]BGA 10_Diagramme'!$H$2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75000"/>
              </a:srgb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'[17]BGA 10_Diagramme'!$A$4:$A$15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'[17]BGA 10_Diagramme'!$H$4:$H$15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2"/>
          <c:tx>
            <c:strRef>
              <c:f>'[17]BGA 10_Diagramme'!$F$2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val>
            <c:numRef>
              <c:f>'[17]BGA 10_Diagramme'!$F$4:$F$15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3"/>
          <c:tx>
            <c:strRef>
              <c:f>'[17]BGA 10_Diagramme'!$C$2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</c:spPr>
          <c:invertIfNegative val="0"/>
          <c:dLbls>
            <c:delete val="1"/>
          </c:dLbls>
          <c:val>
            <c:numRef>
              <c:f>'[17]BGA 10_Diagramme'!$C$4:$C$15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6"/>
          <c:tx>
            <c:strRef>
              <c:f>'[17]BGA 10_Diagramme'!$I$2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'[17]BGA 10_Diagramme'!$I$4:$I$15</c:f>
              <c:numCache>
                <c:formatCode>General</c:formatCode>
                <c:ptCount val="12"/>
              </c:numCache>
            </c:numRef>
          </c:val>
        </c:ser>
        <c:ser>
          <c:idx val="7"/>
          <c:order val="7"/>
          <c:tx>
            <c:strRef>
              <c:f>'[17]BGA 10_Diagramme'!$E$2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val>
            <c:numRef>
              <c:f>'[17]BGA 10_Diagramme'!$E$4:$E$15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52649472"/>
        <c:axId val="252651392"/>
        <c:extLst>
          <c:ext xmlns:c15="http://schemas.microsoft.com/office/drawing/2012/chart" uri="{02D57815-91ED-43cb-92C2-25804820EDAC}">
            <c15:filteredBa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'[17]BGA 10_Diagramme'!$D$2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ED7D31"/>
                  </a:solidFill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'[17]BGA 10_Diagramme'!$D$4:$D$15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4"/>
                <c:order val="5"/>
                <c:tx>
                  <c:strRef>
                    <c:extLst>
                      <c:ext uri="{02D57815-91ED-43cb-92C2-25804820EDAC}">
                        <c15:formulaRef>
                          <c15:sqref>'[17]BGA 10_Diagramme'!$B$2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'[17]BGA 10_Diagramme'!$B$4:$B$15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8"/>
          <c:order val="8"/>
          <c:tx>
            <c:strRef>
              <c:f>'[17]BGA 10_Diagramme'!$J$2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ysClr val="windowText" lastClr="000000"/>
              </a:solidFill>
              <a:ln w="9525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'[17]BGA 10_Diagramme'!$J$4:$J$15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659584"/>
        <c:axId val="252657664"/>
      </c:lineChart>
      <c:catAx>
        <c:axId val="25264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651392"/>
        <c:crosses val="autoZero"/>
        <c:auto val="1"/>
        <c:lblAlgn val="ctr"/>
        <c:lblOffset val="100"/>
        <c:noMultiLvlLbl val="1"/>
      </c:catAx>
      <c:valAx>
        <c:axId val="2526513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649472"/>
        <c:crosses val="autoZero"/>
        <c:crossBetween val="between"/>
      </c:valAx>
      <c:catAx>
        <c:axId val="25265958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657664"/>
        <c:crosses val="autoZero"/>
        <c:auto val="1"/>
        <c:lblAlgn val="ctr"/>
        <c:lblOffset val="100"/>
        <c:noMultiLvlLbl val="0"/>
      </c:catAx>
      <c:valAx>
        <c:axId val="252657664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ysClr val="windowText" lastClr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659584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0796421724270239"/>
          <c:y val="0.891740619795566"/>
          <c:w val="0.857740530761553"/>
          <c:h val="0.083623432123453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274136267673"/>
          <c:y val="0.0468739252466585"/>
          <c:w val="0.874534725049608"/>
          <c:h val="0.84202044401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'[17]BGA 10_Diagramme'!$F$55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'[17]BGA 10_Diagramme'!$A$57:$A$68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'[17]BGA 10_Diagramme'!$F$57:$F$68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'[17]BGA 10_Diagramme'!$G$55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'[17]BGA 10_Diagramme'!$A$57:$A$68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'[17]BGA 10_Diagramme'!$G$57:$G$68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3100416"/>
        <c:axId val="253101952"/>
      </c:barChart>
      <c:catAx>
        <c:axId val="25310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101952"/>
        <c:crosses val="autoZero"/>
        <c:auto val="0"/>
        <c:lblAlgn val="ctr"/>
        <c:lblOffset val="100"/>
        <c:noMultiLvlLbl val="0"/>
      </c:catAx>
      <c:valAx>
        <c:axId val="253101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Auslastung</a:t>
                </a:r>
                <a:r>
                  <a:rPr lang="de-DE" sz="1200" baseline="0"/>
                  <a:t>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10041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2549260220352"/>
          <c:y val="0.0587923840776289"/>
          <c:w val="0.841976092232082"/>
          <c:h val="0.0719093658934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6560294117647"/>
          <c:y val="0.0456535947712418"/>
          <c:w val="0.860612908496732"/>
          <c:h val="0.8589261020146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'[17]BGA 10_Diagramme'!$D$22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'[17]BGA 10_Diagramme'!$C$25:$C$36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'[17]BGA 10_Diagramme'!$D$25:$D$36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'[17]BGA 10_Diagramme'!$E$22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'[17]BGA 10_Diagramme'!$C$25:$C$36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'[17]BGA 10_Diagramme'!$E$25:$E$36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3136256"/>
        <c:axId val="253146240"/>
      </c:barChart>
      <c:catAx>
        <c:axId val="25313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146240"/>
        <c:crosses val="autoZero"/>
        <c:auto val="1"/>
        <c:lblAlgn val="ctr"/>
        <c:lblOffset val="100"/>
        <c:noMultiLvlLbl val="1"/>
      </c:catAx>
      <c:valAx>
        <c:axId val="253146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="0" i="0" baseline="0">
                    <a:effectLst/>
                  </a:rPr>
                  <a:t>FOS/TAC [-]</a:t>
                </a:r>
                <a:endParaRPr lang="en-US" sz="12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136256"/>
        <c:crosses val="autoZero"/>
        <c:crossBetween val="between"/>
        <c:majorUnit val="0.05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482776903832555"/>
          <c:y val="0.0583941176470588"/>
          <c:w val="0.484733230655838"/>
          <c:h val="0.0700372549019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940212418300654"/>
          <c:y val="0.0502593799151502"/>
          <c:w val="0.817200653594771"/>
          <c:h val="0.795339807557727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'[20]BGA 11_Diagramme'!$G$2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'[20]BGA 11_Diagramme'!$A$4:$A$15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'[20]BGA 11_Diagramme'!$G$4:$G$15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2"/>
          <c:tx>
            <c:strRef>
              <c:f>'[20]BGA 11_Diagramme'!$F$2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val>
            <c:numRef>
              <c:f>'[20]BGA 11_Diagramme'!$F$4:$F$15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3"/>
          <c:tx>
            <c:strRef>
              <c:f>'[20]BGA 11_Diagramme'!$C$2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</c:spPr>
          <c:invertIfNegative val="0"/>
          <c:dLbls>
            <c:delete val="1"/>
          </c:dLbls>
          <c:val>
            <c:numRef>
              <c:f>'[20]BGA 11_Diagramme'!$C$4:$C$15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6"/>
          <c:tx>
            <c:strRef>
              <c:f>'[20]BGA 11_Diagramme'!$I$2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'[20]BGA 11_Diagramme'!$I$4:$I$15</c:f>
              <c:numCache>
                <c:formatCode>General</c:formatCode>
                <c:ptCount val="12"/>
              </c:numCache>
            </c:numRef>
          </c:val>
        </c:ser>
        <c:ser>
          <c:idx val="7"/>
          <c:order val="7"/>
          <c:tx>
            <c:strRef>
              <c:f>'[20]BGA 11_Diagramme'!$E$2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val>
            <c:numRef>
              <c:f>'[20]BGA 11_Diagramme'!$E$4:$E$15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46493952"/>
        <c:axId val="246495872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'[20]BGA 11_Diagramme'!$H$2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FFC000">
                      <a:lumMod val="75000"/>
                    </a:srgb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'[20]BGA 11_Diagramme'!$A$4:$A$15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'[20]BGA 11_Diagramme'!$H$4:$H$15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'[20]BGA 11_Diagramme'!$D$2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ED7D31"/>
                  </a:solidFill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'[20]BGA 11_Diagramme'!$D$4:$D$15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4"/>
                <c:order val="5"/>
                <c:tx>
                  <c:strRef>
                    <c:extLst>
                      <c:ext uri="{02D57815-91ED-43cb-92C2-25804820EDAC}">
                        <c15:formulaRef>
                          <c15:sqref>'[20]BGA 11_Diagramme'!$B$2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'[20]BGA 11_Diagramme'!$B$4:$B$15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8"/>
          <c:order val="8"/>
          <c:tx>
            <c:strRef>
              <c:f>'[20]BGA 11_Diagramme'!$J$2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ysClr val="windowText" lastClr="000000"/>
              </a:solidFill>
              <a:ln w="9525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'[20]BGA 11_Diagramme'!$J$4:$J$15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499968"/>
        <c:axId val="246498048"/>
      </c:lineChart>
      <c:catAx>
        <c:axId val="24649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6495872"/>
        <c:crosses val="autoZero"/>
        <c:auto val="1"/>
        <c:lblAlgn val="ctr"/>
        <c:lblOffset val="100"/>
        <c:noMultiLvlLbl val="1"/>
      </c:catAx>
      <c:valAx>
        <c:axId val="24649587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6493952"/>
        <c:crosses val="autoZero"/>
        <c:crossBetween val="between"/>
      </c:valAx>
      <c:catAx>
        <c:axId val="24649996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6498048"/>
        <c:crosses val="autoZero"/>
        <c:auto val="1"/>
        <c:lblAlgn val="ctr"/>
        <c:lblOffset val="100"/>
        <c:noMultiLvlLbl val="0"/>
      </c:catAx>
      <c:valAx>
        <c:axId val="246498048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ysClr val="windowText" lastClr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6499968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"/>
          <c:y val="0.884235933419505"/>
          <c:w val="0.94123025984345"/>
          <c:h val="0.11422303100458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5056045751634"/>
          <c:y val="0.0500058883096829"/>
          <c:w val="0.854348692810458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'[20]BGA 11_Diagramme'!$D$22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'[20]BGA 11_Diagramme'!$C$25:$C$36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'[20]BGA 11_Diagramme'!$D$25:$D$36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2534784"/>
        <c:axId val="252536320"/>
      </c:barChart>
      <c:catAx>
        <c:axId val="25253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2536320"/>
        <c:crosses val="autoZero"/>
        <c:auto val="1"/>
        <c:lblAlgn val="ctr"/>
        <c:lblOffset val="100"/>
        <c:noMultiLvlLbl val="1"/>
      </c:catAx>
      <c:valAx>
        <c:axId val="2525363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16651960784314"/>
              <c:y val="0.29620505050505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253478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069351386206"/>
          <c:y val="0.0556740803953989"/>
          <c:w val="0.836024053011048"/>
          <c:h val="0.770730935574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'[20]BGA 11_Diagramme'!$E$22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'[20]BGA 11_Diagramme'!$C$25:$C$36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'[20]BGA 11_Diagramme'!$E$25:$E$36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2409344"/>
        <c:axId val="252410880"/>
      </c:barChart>
      <c:catAx>
        <c:axId val="25240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2410880"/>
        <c:crosses val="autoZero"/>
        <c:auto val="1"/>
        <c:lblAlgn val="ctr"/>
        <c:lblOffset val="100"/>
        <c:noMultiLvlLbl val="1"/>
      </c:catAx>
      <c:valAx>
        <c:axId val="25241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0210436274509804"/>
              <c:y val="0.3538349673202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0" sourceLinked="0"/>
        <c:majorTickMark val="out"/>
        <c:minorTickMark val="out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2409344"/>
        <c:crosses val="autoZero"/>
        <c:crossBetween val="between"/>
        <c:majorUnit val="0.05"/>
        <c:minorUnit val="0.0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668051456815"/>
          <c:y val="0.919441881095263"/>
          <c:w val="0.133573510953239"/>
          <c:h val="0.0727007903753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274136267673"/>
          <c:y val="0.0468739252466585"/>
          <c:w val="0.874534725049608"/>
          <c:h val="0.84202044401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'[20]BGA 11_Diagramme'!$F$47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'[20]BGA 11_Diagramme'!$A$49:$A$60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'[20]BGA 11_Diagramme'!$F$49:$F$60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'[20]BGA 11_Diagramme'!$G$47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'[20]BGA 11_Diagramme'!$A$49:$A$60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'[20]BGA 11_Diagramme'!$G$49:$G$60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3760256"/>
        <c:axId val="253761792"/>
      </c:barChart>
      <c:catAx>
        <c:axId val="25376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3761792"/>
        <c:crosses val="autoZero"/>
        <c:auto val="0"/>
        <c:lblAlgn val="ctr"/>
        <c:lblOffset val="100"/>
        <c:noMultiLvlLbl val="0"/>
      </c:catAx>
      <c:valAx>
        <c:axId val="2537617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376025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21360981790127"/>
          <c:y val="0.0502698522146001"/>
          <c:w val="0.848173522852171"/>
          <c:h val="0.0719093658934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794951346296277"/>
          <c:y val="0.0502593799151502"/>
          <c:w val="0.842769017017164"/>
          <c:h val="0.812583113120739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'[24]BGA 12_Diagramme 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'[24]BGA 12_Diagramme 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'[24]BGA 12_Diagramme '!$G$4:$G$15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'[24]BGA 12_Diagramme 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75000"/>
              </a:srgb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'[24]BGA 12_Diagramme 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'[24]BGA 12_Diagramme '!$H$4:$H$15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2"/>
          <c:tx>
            <c:strRef>
              <c:f>'[24]BGA 12_Diagramme 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val>
            <c:numRef>
              <c:f>'[24]BGA 12_Diagramme '!$F$4:$F$15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3"/>
          <c:tx>
            <c:strRef>
              <c:f>'[24]BGA 12_Diagramme 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</c:spPr>
          <c:invertIfNegative val="0"/>
          <c:dLbls>
            <c:delete val="1"/>
          </c:dLbls>
          <c:val>
            <c:numRef>
              <c:f>'[24]BGA 12_Diagramme '!$C$4:$C$15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4"/>
          <c:tx>
            <c:strRef>
              <c:f>'[24]BGA 12_Diagramme 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ED7D31"/>
            </a:solidFill>
          </c:spPr>
          <c:invertIfNegative val="0"/>
          <c:dLbls>
            <c:delete val="1"/>
          </c:dLbls>
          <c:val>
            <c:numRef>
              <c:f>'[24]BGA 12_Diagramme '!$D$4:$D$15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6"/>
          <c:tx>
            <c:strRef>
              <c:f>'[24]BGA 12_Diagramme '!$I$2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'[24]BGA 12_Diagramme '!$I$4:$I$15</c:f>
              <c:numCache>
                <c:formatCode>General</c:formatCode>
                <c:ptCount val="12"/>
              </c:numCache>
            </c:numRef>
          </c:val>
        </c:ser>
        <c:ser>
          <c:idx val="7"/>
          <c:order val="7"/>
          <c:tx>
            <c:strRef>
              <c:f>'[24]BGA 12_Diagramme 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val>
            <c:numRef>
              <c:f>'[24]BGA 12_Diagramme '!$E$4:$E$15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53612416"/>
        <c:axId val="253614336"/>
        <c:extLst>
          <c:ext xmlns:c15="http://schemas.microsoft.com/office/drawing/2012/chart" uri="{02D57815-91ED-43cb-92C2-25804820EDAC}">
            <c15:filteredBarSeries>
              <c15:ser>
                <c:idx val="4"/>
                <c:order val="5"/>
                <c:tx>
                  <c:strRef>
                    <c:extLst>
                      <c:ext uri="{02D57815-91ED-43cb-92C2-25804820EDAC}">
                        <c15:formulaRef>
                          <c15:sqref>'[24]BGA 12_Diagramme '!$B$2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'[24]BGA 12_Diagramme '!$B$4:$B$15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8"/>
          <c:order val="8"/>
          <c:tx>
            <c:strRef>
              <c:f>'[24]BGA 12_Diagramme 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ysClr val="windowText" lastClr="000000"/>
              </a:solidFill>
              <a:ln w="6350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'[24]BGA 12_Diagramme '!$J$4:$J$15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622528"/>
        <c:axId val="253620608"/>
      </c:lineChart>
      <c:catAx>
        <c:axId val="25361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614336"/>
        <c:crosses val="autoZero"/>
        <c:auto val="1"/>
        <c:lblAlgn val="ctr"/>
        <c:lblOffset val="100"/>
        <c:noMultiLvlLbl val="1"/>
      </c:catAx>
      <c:valAx>
        <c:axId val="25361433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612416"/>
        <c:crosses val="autoZero"/>
        <c:crossBetween val="between"/>
      </c:valAx>
      <c:catAx>
        <c:axId val="25362252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620608"/>
        <c:crosses val="autoZero"/>
        <c:auto val="1"/>
        <c:lblAlgn val="ctr"/>
        <c:lblOffset val="100"/>
        <c:noMultiLvlLbl val="0"/>
      </c:catAx>
      <c:valAx>
        <c:axId val="253620608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622528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060375311869663"/>
          <c:y val="0.916259215179385"/>
          <c:w val="0.910724397294296"/>
          <c:h val="0.082199749244708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'[24]BGA 12_Diagramme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'[24]BGA 12_Diagramme 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'[24]BGA 12_Diagramme '!$D$25:$D$36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3648256"/>
        <c:axId val="253674624"/>
      </c:barChart>
      <c:catAx>
        <c:axId val="25364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3674624"/>
        <c:crosses val="autoZero"/>
        <c:auto val="1"/>
        <c:lblAlgn val="ctr"/>
        <c:lblOffset val="100"/>
        <c:noMultiLvlLbl val="1"/>
      </c:catAx>
      <c:valAx>
        <c:axId val="2536746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3648256"/>
        <c:crosses val="autoZero"/>
        <c:crossBetween val="between"/>
        <c:majorUnit val="0.05"/>
        <c:minorUnit val="0.0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069351386206"/>
          <c:y val="0.0556740803953989"/>
          <c:w val="0.836024053011048"/>
          <c:h val="0.770730935574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'[24]BGA 12_Diagramme '!$E$22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'[24]BGA 12_Diagramme 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'[24]BGA 12_Diagramme '!$E$25:$E$36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157952"/>
        <c:axId val="254159488"/>
      </c:barChart>
      <c:catAx>
        <c:axId val="25415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159488"/>
        <c:crosses val="autoZero"/>
        <c:auto val="1"/>
        <c:lblAlgn val="ctr"/>
        <c:lblOffset val="100"/>
        <c:noMultiLvlLbl val="1"/>
      </c:catAx>
      <c:valAx>
        <c:axId val="25415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0210436274509804"/>
              <c:y val="0.3538349673202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0" sourceLinked="0"/>
        <c:majorTickMark val="out"/>
        <c:minorTickMark val="out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157952"/>
        <c:crosses val="autoZero"/>
        <c:crossBetween val="between"/>
        <c:majorUnit val="0.05"/>
        <c:minorUnit val="0.0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668051456815"/>
          <c:y val="0.919441881095263"/>
          <c:w val="0.133573510953239"/>
          <c:h val="0.0727007903753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Fütterungsmenge BGA Gesamt</a:t>
            </a:r>
            <a:endParaRPr lang="de-DE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94951346296277"/>
          <c:y val="0.131760386502607"/>
          <c:w val="0.701478758588206"/>
          <c:h val="0.698866609285175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[19]Auswertung!$Q$2</c:f>
              <c:strCache>
                <c:ptCount val="1"/>
                <c:pt idx="0">
                  <c:v>Futterreste + 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[19]Auswertung!$Q$4:$Q$15</c:f>
              <c:numCache>
                <c:formatCode>General</c:formatCode>
                <c:ptCount val="12"/>
                <c:pt idx="0">
                  <c:v>4.47894893998208</c:v>
                </c:pt>
                <c:pt idx="1">
                  <c:v>4.67241826282504</c:v>
                </c:pt>
                <c:pt idx="2">
                  <c:v>4.2032348095094</c:v>
                </c:pt>
                <c:pt idx="3">
                  <c:v>5.19053621252935</c:v>
                </c:pt>
                <c:pt idx="4">
                  <c:v>4.5522308280596</c:v>
                </c:pt>
                <c:pt idx="5">
                  <c:v>4.78488523110996</c:v>
                </c:pt>
                <c:pt idx="6">
                  <c:v>4.26979130912903</c:v>
                </c:pt>
                <c:pt idx="7">
                  <c:v>4.52330951861131</c:v>
                </c:pt>
                <c:pt idx="8">
                  <c:v>4.62815326532635</c:v>
                </c:pt>
                <c:pt idx="9">
                  <c:v>4.91525445944653</c:v>
                </c:pt>
                <c:pt idx="10">
                  <c:v>4.72412914488995</c:v>
                </c:pt>
                <c:pt idx="11">
                  <c:v>4.45349573556234</c:v>
                </c:pt>
              </c:numCache>
            </c:numRef>
          </c:val>
        </c:ser>
        <c:ser>
          <c:idx val="6"/>
          <c:order val="1"/>
          <c:tx>
            <c:strRef>
              <c:f>[19]Auswertung!$R$2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[19]Auswertung!$R$4:$R$15</c:f>
              <c:numCache>
                <c:formatCode>General</c:formatCode>
                <c:ptCount val="12"/>
                <c:pt idx="0">
                  <c:v>55.4792475365781</c:v>
                </c:pt>
                <c:pt idx="1">
                  <c:v>56.4910440292524</c:v>
                </c:pt>
                <c:pt idx="2">
                  <c:v>61.1990988264568</c:v>
                </c:pt>
                <c:pt idx="3">
                  <c:v>62.4873585327727</c:v>
                </c:pt>
                <c:pt idx="4">
                  <c:v>57.5636930515923</c:v>
                </c:pt>
                <c:pt idx="5">
                  <c:v>59.1275103558587</c:v>
                </c:pt>
                <c:pt idx="6">
                  <c:v>62.366500153988</c:v>
                </c:pt>
                <c:pt idx="7">
                  <c:v>59.5870640585063</c:v>
                </c:pt>
                <c:pt idx="8">
                  <c:v>58.6431807296836</c:v>
                </c:pt>
                <c:pt idx="9">
                  <c:v>57.1480251818316</c:v>
                </c:pt>
                <c:pt idx="10">
                  <c:v>49.7405081578091</c:v>
                </c:pt>
                <c:pt idx="11">
                  <c:v>50.5687257715466</c:v>
                </c:pt>
              </c:numCache>
            </c:numRef>
          </c:val>
        </c:ser>
        <c:ser>
          <c:idx val="1"/>
          <c:order val="2"/>
          <c:tx>
            <c:strRef>
              <c:f>[19]Auswertung!$M$2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[19]Auswertung!$M$4:$M$15</c:f>
              <c:numCache>
                <c:formatCode>General</c:formatCode>
                <c:ptCount val="12"/>
                <c:pt idx="0">
                  <c:v>1.58256195879367</c:v>
                </c:pt>
                <c:pt idx="1">
                  <c:v>2.0679218892245</c:v>
                </c:pt>
                <c:pt idx="2">
                  <c:v>2.18568210094489</c:v>
                </c:pt>
                <c:pt idx="3">
                  <c:v>1.03140977642519</c:v>
                </c:pt>
                <c:pt idx="4">
                  <c:v>2.03235079549499</c:v>
                </c:pt>
                <c:pt idx="5">
                  <c:v>2.01648734739634</c:v>
                </c:pt>
                <c:pt idx="6">
                  <c:v>1.70791652365161</c:v>
                </c:pt>
                <c:pt idx="7">
                  <c:v>1.11574968125746</c:v>
                </c:pt>
                <c:pt idx="8">
                  <c:v>1.80945863147598</c:v>
                </c:pt>
                <c:pt idx="9">
                  <c:v>1.82192098630151</c:v>
                </c:pt>
                <c:pt idx="10">
                  <c:v>1.85771044928602</c:v>
                </c:pt>
                <c:pt idx="11">
                  <c:v>3.18927759127368</c:v>
                </c:pt>
              </c:numCache>
            </c:numRef>
          </c:val>
        </c:ser>
        <c:ser>
          <c:idx val="2"/>
          <c:order val="3"/>
          <c:tx>
            <c:strRef>
              <c:f>[19]Auswertung!$N$2</c:f>
              <c:strCache>
                <c:ptCount val="1"/>
                <c:pt idx="0">
                  <c:v>Roggen-GPS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[19]Auswertung!$N$4:$N$15</c:f>
              <c:numCache>
                <c:formatCode>General</c:formatCode>
                <c:ptCount val="12"/>
                <c:pt idx="0">
                  <c:v>4.59540161242162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6.53886131249091</c:v>
                </c:pt>
                <c:pt idx="10">
                  <c:v>18.9451598706259</c:v>
                </c:pt>
                <c:pt idx="11">
                  <c:v>20.4584974422568</c:v>
                </c:pt>
              </c:numCache>
            </c:numRef>
          </c:val>
        </c:ser>
        <c:ser>
          <c:idx val="4"/>
          <c:order val="4"/>
          <c:tx>
            <c:strRef>
              <c:f>[19]Auswertung!$P$2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[19]Auswertung!$P$4:$P$15</c:f>
              <c:numCache>
                <c:formatCode>General</c:formatCode>
                <c:ptCount val="12"/>
                <c:pt idx="0">
                  <c:v>31.1024186324276</c:v>
                </c:pt>
                <c:pt idx="1">
                  <c:v>33.8904061687979</c:v>
                </c:pt>
                <c:pt idx="2">
                  <c:v>29.266283331652</c:v>
                </c:pt>
                <c:pt idx="3">
                  <c:v>26.9230099484161</c:v>
                </c:pt>
                <c:pt idx="4">
                  <c:v>33.0085487958028</c:v>
                </c:pt>
                <c:pt idx="5">
                  <c:v>30.2354163533706</c:v>
                </c:pt>
                <c:pt idx="6">
                  <c:v>28.9616914323745</c:v>
                </c:pt>
                <c:pt idx="7">
                  <c:v>30.9129003581255</c:v>
                </c:pt>
                <c:pt idx="8">
                  <c:v>29.9537662418321</c:v>
                </c:pt>
                <c:pt idx="9">
                  <c:v>26.3373752016893</c:v>
                </c:pt>
                <c:pt idx="10">
                  <c:v>21.8132853483725</c:v>
                </c:pt>
                <c:pt idx="11">
                  <c:v>18.5866500862542</c:v>
                </c:pt>
              </c:numCache>
            </c:numRef>
          </c:val>
        </c:ser>
        <c:ser>
          <c:idx val="3"/>
          <c:order val="5"/>
          <c:tx>
            <c:strRef>
              <c:f>[19]Auswertung!$O$2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[19]Auswertung!$O$4:$O$15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0.554266563547306</c:v>
                </c:pt>
                <c:pt idx="3">
                  <c:v>1.17031522293855</c:v>
                </c:pt>
                <c:pt idx="4">
                  <c:v>0.0390023389655687</c:v>
                </c:pt>
                <c:pt idx="5">
                  <c:v>0.880008749504423</c:v>
                </c:pt>
                <c:pt idx="6">
                  <c:v>0.0639091344334152</c:v>
                </c:pt>
                <c:pt idx="7">
                  <c:v>1.07220528829162</c:v>
                </c:pt>
                <c:pt idx="8">
                  <c:v>2.11449872024097</c:v>
                </c:pt>
                <c:pt idx="9">
                  <c:v>0.208144642176029</c:v>
                </c:pt>
                <c:pt idx="10">
                  <c:v>0.00914347576430314</c:v>
                </c:pt>
                <c:pt idx="11">
                  <c:v>0</c:v>
                </c:pt>
              </c:numCache>
            </c:numRef>
          </c:val>
        </c:ser>
        <c:ser>
          <c:idx val="0"/>
          <c:order val="7"/>
          <c:tx>
            <c:strRef>
              <c:f>[19]Auswertung!$L$2</c:f>
              <c:strCache>
                <c:ptCount val="1"/>
                <c:pt idx="0">
                  <c:v>Prozesswasser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[19]Auswertung!$L$4:$L$15</c:f>
              <c:numCache>
                <c:formatCode>General</c:formatCode>
                <c:ptCount val="12"/>
                <c:pt idx="0">
                  <c:v>2.68736936398925</c:v>
                </c:pt>
                <c:pt idx="1">
                  <c:v>2.80345095769502</c:v>
                </c:pt>
                <c:pt idx="2">
                  <c:v>2.52194088570564</c:v>
                </c:pt>
                <c:pt idx="3">
                  <c:v>3.11432172751761</c:v>
                </c:pt>
                <c:pt idx="4">
                  <c:v>2.73133849683576</c:v>
                </c:pt>
                <c:pt idx="5">
                  <c:v>2.87093113866597</c:v>
                </c:pt>
                <c:pt idx="6">
                  <c:v>2.56187478547742</c:v>
                </c:pt>
                <c:pt idx="7">
                  <c:v>2.71398571116678</c:v>
                </c:pt>
                <c:pt idx="8">
                  <c:v>2.77689195919581</c:v>
                </c:pt>
                <c:pt idx="9">
                  <c:v>2.94915267566792</c:v>
                </c:pt>
                <c:pt idx="10">
                  <c:v>2.83447748693397</c:v>
                </c:pt>
                <c:pt idx="11">
                  <c:v>2.67209744133741</c:v>
                </c:pt>
              </c:numCache>
            </c:numRef>
          </c:val>
        </c:ser>
        <c:ser>
          <c:idx val="8"/>
          <c:order val="8"/>
          <c:tx>
            <c:strRef>
              <c:f>[19]Auswertung!$T$2</c:f>
              <c:strCache>
                <c:ptCount val="1"/>
                <c:pt idx="0">
                  <c:v>Rezirkulat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[19]Auswertung!$T$4:$T$15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[19]Auswertung!$U$2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[19]Auswertung!$U$4:$U$15</c:f>
              <c:numCache>
                <c:formatCode>General</c:formatCode>
                <c:ptCount val="12"/>
                <c:pt idx="0">
                  <c:v>0.0740519558077038</c:v>
                </c:pt>
                <c:pt idx="1">
                  <c:v>0.0747586922052006</c:v>
                </c:pt>
                <c:pt idx="2">
                  <c:v>0.0694934821838887</c:v>
                </c:pt>
                <c:pt idx="3">
                  <c:v>0.0830485794004696</c:v>
                </c:pt>
                <c:pt idx="4">
                  <c:v>0.0728356932489536</c:v>
                </c:pt>
                <c:pt idx="5">
                  <c:v>0.0847608240939478</c:v>
                </c:pt>
                <c:pt idx="6">
                  <c:v>0.0683166609460645</c:v>
                </c:pt>
                <c:pt idx="7">
                  <c:v>0.0747853840410403</c:v>
                </c:pt>
                <c:pt idx="8">
                  <c:v>0.0740504522452217</c:v>
                </c:pt>
                <c:pt idx="9">
                  <c:v>0.0812655403961826</c:v>
                </c:pt>
                <c:pt idx="10">
                  <c:v>0.0755860663182393</c:v>
                </c:pt>
                <c:pt idx="11">
                  <c:v>0.0712559317689975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54271872"/>
        <c:axId val="254273792"/>
      </c:barChart>
      <c:lineChart>
        <c:grouping val="stacked"/>
        <c:varyColors val="0"/>
        <c:ser>
          <c:idx val="10"/>
          <c:order val="10"/>
          <c:tx>
            <c:strRef>
              <c:f>"Güllebonus"</c:f>
              <c:strCache>
                <c:ptCount val="1"/>
                <c:pt idx="0">
                  <c:v>Güllebonus</c:v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{30,30,30,30,30,30,30,30,30,30,30,30}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54271872"/>
        <c:axId val="254273792"/>
      </c:lineChart>
      <c:lineChart>
        <c:grouping val="stacked"/>
        <c:varyColors val="0"/>
        <c:ser>
          <c:idx val="7"/>
          <c:order val="6"/>
          <c:tx>
            <c:strRef>
              <c:f>[19]Auswertung!$S$2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[19]Auswertung!$S$4:$S$15</c:f>
              <c:numCache>
                <c:formatCode>General</c:formatCode>
                <c:ptCount val="12"/>
                <c:pt idx="0">
                  <c:v>55.8166666666667</c:v>
                </c:pt>
                <c:pt idx="1">
                  <c:v>53.5054838709677</c:v>
                </c:pt>
                <c:pt idx="2">
                  <c:v>59.478</c:v>
                </c:pt>
                <c:pt idx="3">
                  <c:v>48.1645806451613</c:v>
                </c:pt>
                <c:pt idx="4">
                  <c:v>54.9181290322581</c:v>
                </c:pt>
                <c:pt idx="5">
                  <c:v>52.2478571428571</c:v>
                </c:pt>
                <c:pt idx="6">
                  <c:v>58.5508709677419</c:v>
                </c:pt>
                <c:pt idx="7">
                  <c:v>55.2692666666667</c:v>
                </c:pt>
                <c:pt idx="8">
                  <c:v>54.0172258064516</c:v>
                </c:pt>
                <c:pt idx="9">
                  <c:v>50.8620666666667</c:v>
                </c:pt>
                <c:pt idx="10">
                  <c:v>52.9198064516129</c:v>
                </c:pt>
                <c:pt idx="11">
                  <c:v>56.1356774193548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277888"/>
        <c:axId val="254275968"/>
      </c:lineChart>
      <c:catAx>
        <c:axId val="25427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273792"/>
        <c:crosses val="autoZero"/>
        <c:auto val="1"/>
        <c:lblAlgn val="ctr"/>
        <c:lblOffset val="100"/>
        <c:noMultiLvlLbl val="1"/>
      </c:catAx>
      <c:valAx>
        <c:axId val="2542737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Frischmassantrag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271872"/>
        <c:crosses val="autoZero"/>
        <c:crossBetween val="between"/>
      </c:valAx>
      <c:catAx>
        <c:axId val="25427788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275968"/>
        <c:crosses val="autoZero"/>
        <c:auto val="1"/>
        <c:lblAlgn val="ctr"/>
        <c:lblOffset val="100"/>
        <c:noMultiLvlLbl val="0"/>
      </c:catAx>
      <c:valAx>
        <c:axId val="2542759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aseline="0">
                    <a:effectLst/>
                  </a:rPr>
                  <a:t>mittlerer täglicher Frischmasseeintrag [t/d]</a:t>
                </a:r>
                <a:endParaRPr lang="de-DE" sz="1200" baseline="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277888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862309945212571"/>
          <c:y val="0.243968446378614"/>
          <c:w val="0.137690083928066"/>
          <c:h val="0.455468774905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274136267673"/>
          <c:y val="0.0468739252466585"/>
          <c:w val="0.874534725049608"/>
          <c:h val="0.8548042418050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'[24]BGA 12_Diagramme '!$F$47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'[24]BGA 12_Diagramme 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'[24]BGA 12_Diagramme '!$F$49:$F$60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'[24]BGA 12_Diagramme '!$G$47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'[24]BGA 12_Diagramme 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'[24]BGA 12_Diagramme '!$G$49:$G$60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3870848"/>
        <c:axId val="253872384"/>
      </c:barChart>
      <c:catAx>
        <c:axId val="25387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3872384"/>
        <c:crosses val="autoZero"/>
        <c:auto val="0"/>
        <c:lblAlgn val="ctr"/>
        <c:lblOffset val="100"/>
        <c:noMultiLvlLbl val="0"/>
      </c:catAx>
      <c:valAx>
        <c:axId val="253872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387084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17229361376734"/>
          <c:y val="0.0587923840776289"/>
          <c:w val="0.852305143265565"/>
          <c:h val="0.0719093658934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'[25]BGA 13_Diagramme'!$B$1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rgbClr val="663300"/>
            </a:solidFill>
          </c:spPr>
          <c:invertIfNegative val="0"/>
          <c:dLbls>
            <c:delete val="1"/>
          </c:dLbls>
          <c:val>
            <c:numRef>
              <c:f>'[25]BGA 13_Diagramme'!$B$3:$B$14</c:f>
              <c:numCache>
                <c:formatCode>General</c:formatCode>
                <c:ptCount val="12"/>
                <c:pt idx="0">
                  <c:v>72.4120880165839</c:v>
                </c:pt>
                <c:pt idx="1">
                  <c:v>72.8382400760399</c:v>
                </c:pt>
                <c:pt idx="2">
                  <c:v>70.6246425361549</c:v>
                </c:pt>
                <c:pt idx="3">
                  <c:v>71.4036350941502</c:v>
                </c:pt>
                <c:pt idx="4">
                  <c:v>73.7701138826133</c:v>
                </c:pt>
                <c:pt idx="5">
                  <c:v>71.0773887839188</c:v>
                </c:pt>
                <c:pt idx="6">
                  <c:v>70.3563468406778</c:v>
                </c:pt>
                <c:pt idx="7">
                  <c:v>73.8263821044044</c:v>
                </c:pt>
                <c:pt idx="8">
                  <c:v>74.7113552292344</c:v>
                </c:pt>
                <c:pt idx="9">
                  <c:v>74.8108602503306</c:v>
                </c:pt>
                <c:pt idx="10">
                  <c:v>72.2694835302181</c:v>
                </c:pt>
                <c:pt idx="11">
                  <c:v>73.4594005159712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'BGA 13_Diagrams'!#REF!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ser>
          <c:idx val="4"/>
          <c:order val="1"/>
          <c:tx>
            <c:strRef>
              <c:f>'[25]BGA 13_Diagramme'!$C$1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val>
            <c:numRef>
              <c:f>'[25]BGA 13_Diagramme'!$C$3:$C$14</c:f>
              <c:numCache>
                <c:formatCode>General</c:formatCode>
                <c:ptCount val="12"/>
                <c:pt idx="0">
                  <c:v>23.5826629390845</c:v>
                </c:pt>
                <c:pt idx="1">
                  <c:v>23.2121863978589</c:v>
                </c:pt>
                <c:pt idx="2">
                  <c:v>25.2778004738949</c:v>
                </c:pt>
                <c:pt idx="3">
                  <c:v>23.9466736488403</c:v>
                </c:pt>
                <c:pt idx="4">
                  <c:v>22.8226289824335</c:v>
                </c:pt>
                <c:pt idx="5">
                  <c:v>24.5333227813665</c:v>
                </c:pt>
                <c:pt idx="6">
                  <c:v>24.973817771691</c:v>
                </c:pt>
                <c:pt idx="7">
                  <c:v>20.0932649793024</c:v>
                </c:pt>
                <c:pt idx="8">
                  <c:v>16.8703060195045</c:v>
                </c:pt>
                <c:pt idx="9">
                  <c:v>17.1493334128665</c:v>
                </c:pt>
                <c:pt idx="10">
                  <c:v>22.6283110914002</c:v>
                </c:pt>
                <c:pt idx="11">
                  <c:v>22.1814409957712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'BGA 13_Diagrams'!#REF!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ser>
          <c:idx val="1"/>
          <c:order val="2"/>
          <c:tx>
            <c:strRef>
              <c:f>'[25]BGA 13_Diagramme'!$D$1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delete val="1"/>
          </c:dLbls>
          <c:val>
            <c:numRef>
              <c:f>'[25]BGA 13_Diagramme'!$D$3:$D$14</c:f>
              <c:numCache>
                <c:formatCode>General</c:formatCode>
                <c:ptCount val="12"/>
                <c:pt idx="0">
                  <c:v>3.94629238698389</c:v>
                </c:pt>
                <c:pt idx="1">
                  <c:v>3.88954200955502</c:v>
                </c:pt>
                <c:pt idx="2">
                  <c:v>4.03423482310646</c:v>
                </c:pt>
                <c:pt idx="3">
                  <c:v>4.58205144989199</c:v>
                </c:pt>
                <c:pt idx="4">
                  <c:v>3.34270828530592</c:v>
                </c:pt>
                <c:pt idx="5">
                  <c:v>4.32795512776124</c:v>
                </c:pt>
                <c:pt idx="6">
                  <c:v>4.06831547571095</c:v>
                </c:pt>
                <c:pt idx="7">
                  <c:v>5.06108553989948</c:v>
                </c:pt>
                <c:pt idx="8">
                  <c:v>8.35108171729627</c:v>
                </c:pt>
                <c:pt idx="9">
                  <c:v>3.98908407647111</c:v>
                </c:pt>
                <c:pt idx="10">
                  <c:v>2.51985646897553</c:v>
                </c:pt>
                <c:pt idx="11">
                  <c:v>2.14766350168887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'BGA 13_Diagrams'!#REF!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ser>
          <c:idx val="2"/>
          <c:order val="3"/>
          <c:tx>
            <c:strRef>
              <c:f>'[25]BGA 13_Diagramme'!$E$1</c:f>
              <c:strCache>
                <c:ptCount val="1"/>
                <c:pt idx="0">
                  <c:v>Kleie</c:v>
                </c:pt>
              </c:strCache>
            </c:strRef>
          </c:tx>
          <c:invertIfNegative val="0"/>
          <c:dLbls>
            <c:delete val="1"/>
          </c:dLbls>
          <c:val>
            <c:numRef>
              <c:f>'[25]BGA 13_Diagramme'!$E$3:$E$14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3.98908407647111</c:v>
                </c:pt>
                <c:pt idx="10">
                  <c:v>2.51985646897553</c:v>
                </c:pt>
                <c:pt idx="11">
                  <c:v>2.14766350168887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'BGA 13_Diagrams'!#REF!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ser>
          <c:idx val="3"/>
          <c:order val="4"/>
          <c:tx>
            <c:strRef>
              <c:f>'[25]BGA 13_Diagramme'!$F$1</c:f>
              <c:strCache>
                <c:ptCount val="1"/>
                <c:pt idx="0">
                  <c:v>Grassilage</c:v>
                </c:pt>
              </c:strCache>
            </c:strRef>
          </c:tx>
          <c:invertIfNegative val="0"/>
          <c:dLbls>
            <c:delete val="1"/>
          </c:dLbls>
          <c:val>
            <c:numRef>
              <c:f>'[25]BGA 13_Diagramme'!$F$3:$F$14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0.537071349928838</c:v>
                </c:pt>
                <c:pt idx="7">
                  <c:v>0.956822141871544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'BGA 13_Diagrams'!#REF!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ser>
          <c:idx val="9"/>
          <c:order val="5"/>
          <c:tx>
            <c:strRef>
              <c:f>'[25]BGA 13_Diagramme'!$J$1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val>
            <c:numRef>
              <c:f>'[25]BGA 13_Diagramme'!$J$3:$J$14</c:f>
              <c:numCache>
                <c:formatCode>General</c:formatCode>
                <c:ptCount val="12"/>
                <c:pt idx="0">
                  <c:v>0.0589566573477112</c:v>
                </c:pt>
                <c:pt idx="1">
                  <c:v>0.0600315165461867</c:v>
                </c:pt>
                <c:pt idx="2">
                  <c:v>0.0633221668436964</c:v>
                </c:pt>
                <c:pt idx="3">
                  <c:v>0.0676398071174533</c:v>
                </c:pt>
                <c:pt idx="4">
                  <c:v>0.0645488496472867</c:v>
                </c:pt>
                <c:pt idx="5">
                  <c:v>0.0613333069534164</c:v>
                </c:pt>
                <c:pt idx="6">
                  <c:v>0.0644485619914606</c:v>
                </c:pt>
                <c:pt idx="7">
                  <c:v>0.0624452345221429</c:v>
                </c:pt>
                <c:pt idx="8">
                  <c:v>0.0672570339648021</c:v>
                </c:pt>
                <c:pt idx="9">
                  <c:v>0.0616381838607375</c:v>
                </c:pt>
                <c:pt idx="10">
                  <c:v>0.0624924404305931</c:v>
                </c:pt>
                <c:pt idx="11">
                  <c:v>0.063831484879917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'BGA 13_Diagrams'!#REF!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54008704"/>
        <c:axId val="254019072"/>
      </c:barChart>
      <c:lineChart>
        <c:grouping val="stacked"/>
        <c:varyColors val="0"/>
        <c:ser>
          <c:idx val="7"/>
          <c:order val="6"/>
          <c:tx>
            <c:strRef>
              <c:f>'[25]BGA 13_Diagramme'!$H$1</c:f>
              <c:strCache>
                <c:ptCount val="1"/>
                <c:pt idx="0">
                  <c:v>Fütterungsmenge [t/d]</c:v>
                </c:pt>
              </c:strCache>
            </c:strRef>
          </c:tx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'[25]BGA 13_Diagramme'!$H$3:$H$14</c:f>
              <c:numCache>
                <c:formatCode>General</c:formatCode>
                <c:ptCount val="12"/>
                <c:pt idx="0">
                  <c:v>67.8464516129032</c:v>
                </c:pt>
                <c:pt idx="1">
                  <c:v>66.6316666666667</c:v>
                </c:pt>
                <c:pt idx="2">
                  <c:v>63.1690322580645</c:v>
                </c:pt>
                <c:pt idx="3">
                  <c:v>59.1367741935484</c:v>
                </c:pt>
                <c:pt idx="4">
                  <c:v>61.9685714285714</c:v>
                </c:pt>
                <c:pt idx="5">
                  <c:v>65.2174193548387</c:v>
                </c:pt>
                <c:pt idx="6">
                  <c:v>62.065</c:v>
                </c:pt>
                <c:pt idx="7">
                  <c:v>64.0561290322581</c:v>
                </c:pt>
                <c:pt idx="8">
                  <c:v>59.4733333333333</c:v>
                </c:pt>
                <c:pt idx="9">
                  <c:v>64.8948387096774</c:v>
                </c:pt>
                <c:pt idx="10">
                  <c:v>64.0077419354839</c:v>
                </c:pt>
                <c:pt idx="11">
                  <c:v>62.665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031360"/>
        <c:axId val="254020992"/>
      </c:lineChart>
      <c:catAx>
        <c:axId val="2540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019072"/>
        <c:crosses val="autoZero"/>
        <c:auto val="1"/>
        <c:lblAlgn val="ctr"/>
        <c:lblOffset val="100"/>
        <c:noMultiLvlLbl val="0"/>
      </c:catAx>
      <c:valAx>
        <c:axId val="25401907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008704"/>
        <c:crosses val="autoZero"/>
        <c:crossBetween val="between"/>
      </c:valAx>
      <c:catAx>
        <c:axId val="25403136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020992"/>
        <c:crosses val="autoZero"/>
        <c:auto val="1"/>
        <c:lblAlgn val="ctr"/>
        <c:lblOffset val="100"/>
        <c:noMultiLvlLbl val="0"/>
      </c:catAx>
      <c:valAx>
        <c:axId val="254020992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0313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'[25]BGA 13_Diagramme'!$B$38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'[25]BGA 13_Diagramme'!$B$40:$B$51</c:f>
              <c:numCache>
                <c:formatCode>General</c:formatCode>
                <c:ptCount val="12"/>
                <c:pt idx="0">
                  <c:v>0.990087935119373</c:v>
                </c:pt>
                <c:pt idx="1">
                  <c:v>0.955595574387947</c:v>
                </c:pt>
                <c:pt idx="2">
                  <c:v>0.965873883725169</c:v>
                </c:pt>
                <c:pt idx="3">
                  <c:v>0.887648077273556</c:v>
                </c:pt>
                <c:pt idx="4">
                  <c:v>0.836791263115416</c:v>
                </c:pt>
                <c:pt idx="5">
                  <c:v>0.943224895206853</c:v>
                </c:pt>
                <c:pt idx="6">
                  <c:v>0.990816854990584</c:v>
                </c:pt>
                <c:pt idx="7">
                  <c:v>0.953695097503189</c:v>
                </c:pt>
                <c:pt idx="8">
                  <c:v>0.931245291902072</c:v>
                </c:pt>
                <c:pt idx="9">
                  <c:v>0.981879897940587</c:v>
                </c:pt>
                <c:pt idx="10">
                  <c:v>0.964131128121013</c:v>
                </c:pt>
                <c:pt idx="11">
                  <c:v>0.918166195856874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'BGA 13_Diagrams'!#REF!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ser>
          <c:idx val="1"/>
          <c:order val="1"/>
          <c:tx>
            <c:strRef>
              <c:f>'[25]BGA 13_Diagramme'!$C$38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'[25]BGA 13_Diagramme'!$C$40:$C$51</c:f>
              <c:numCache>
                <c:formatCode>General</c:formatCode>
                <c:ptCount val="12"/>
                <c:pt idx="0">
                  <c:v>0.490262191132808</c:v>
                </c:pt>
                <c:pt idx="1">
                  <c:v>0.523543941757669</c:v>
                </c:pt>
                <c:pt idx="2">
                  <c:v>0.527772885108955</c:v>
                </c:pt>
                <c:pt idx="3">
                  <c:v>0.355872460704881</c:v>
                </c:pt>
                <c:pt idx="4">
                  <c:v>0.45393405021915</c:v>
                </c:pt>
                <c:pt idx="5">
                  <c:v>0.476202757787731</c:v>
                </c:pt>
                <c:pt idx="6">
                  <c:v>0.453107124284972</c:v>
                </c:pt>
                <c:pt idx="7">
                  <c:v>0.580301276567193</c:v>
                </c:pt>
                <c:pt idx="8">
                  <c:v>0.477769110764431</c:v>
                </c:pt>
                <c:pt idx="9">
                  <c:v>0.391093385670911</c:v>
                </c:pt>
                <c:pt idx="10">
                  <c:v>0.43368266988744</c:v>
                </c:pt>
                <c:pt idx="11">
                  <c:v>0.498526607730978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'BGA 13_Diagrams'!#REF!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057472"/>
        <c:axId val="254059264"/>
      </c:barChart>
      <c:catAx>
        <c:axId val="25405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059264"/>
        <c:crosses val="autoZero"/>
        <c:auto val="1"/>
        <c:lblAlgn val="ctr"/>
        <c:lblOffset val="100"/>
        <c:noMultiLvlLbl val="0"/>
      </c:catAx>
      <c:valAx>
        <c:axId val="2540592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</a:t>
                </a:r>
                <a:r>
                  <a:rPr lang="de-DE" baseline="0"/>
                  <a:t>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05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'[27]Diagramme für Broschüre'!$B$1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'[26]BGA 13_Diagramme'!$A$3:$A$14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'[27]Diagramme für Broschüre'!$B$3:$B$14</c:f>
              <c:numCache>
                <c:formatCode>General</c:formatCode>
                <c:ptCount val="12"/>
                <c:pt idx="0">
                  <c:v>72.4120880165839</c:v>
                </c:pt>
                <c:pt idx="1">
                  <c:v>72.8382400760399</c:v>
                </c:pt>
                <c:pt idx="2">
                  <c:v>70.6246425361549</c:v>
                </c:pt>
                <c:pt idx="3">
                  <c:v>71.4036350941502</c:v>
                </c:pt>
                <c:pt idx="4">
                  <c:v>73.7701138826133</c:v>
                </c:pt>
                <c:pt idx="5">
                  <c:v>71.0773887839188</c:v>
                </c:pt>
                <c:pt idx="6">
                  <c:v>70.3563468406778</c:v>
                </c:pt>
                <c:pt idx="7">
                  <c:v>73.8263821044044</c:v>
                </c:pt>
                <c:pt idx="8">
                  <c:v>74.7113552292344</c:v>
                </c:pt>
                <c:pt idx="9">
                  <c:v>74.8108602503306</c:v>
                </c:pt>
                <c:pt idx="10">
                  <c:v>72.2694835302181</c:v>
                </c:pt>
                <c:pt idx="11">
                  <c:v>73.4594005159712</c:v>
                </c:pt>
              </c:numCache>
            </c:numRef>
          </c:val>
        </c:ser>
        <c:ser>
          <c:idx val="4"/>
          <c:order val="1"/>
          <c:tx>
            <c:strRef>
              <c:f>'[26]BGA 13_Diagramme'!$C$1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'[26]BGA 13_Diagramme'!$A$3:$A$14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'[27]Diagramme für Broschüre'!$C$3:$C$14</c:f>
              <c:numCache>
                <c:formatCode>General</c:formatCode>
                <c:ptCount val="12"/>
                <c:pt idx="0">
                  <c:v>23.5826629390845</c:v>
                </c:pt>
                <c:pt idx="1">
                  <c:v>23.2121863978589</c:v>
                </c:pt>
                <c:pt idx="2">
                  <c:v>25.2778004738949</c:v>
                </c:pt>
                <c:pt idx="3">
                  <c:v>23.9466736488403</c:v>
                </c:pt>
                <c:pt idx="4">
                  <c:v>22.8226289824335</c:v>
                </c:pt>
                <c:pt idx="5">
                  <c:v>24.5333227813665</c:v>
                </c:pt>
                <c:pt idx="6">
                  <c:v>24.973817771691</c:v>
                </c:pt>
                <c:pt idx="7">
                  <c:v>20.0932649793024</c:v>
                </c:pt>
                <c:pt idx="8">
                  <c:v>16.8703060195045</c:v>
                </c:pt>
                <c:pt idx="9">
                  <c:v>17.1493334128665</c:v>
                </c:pt>
                <c:pt idx="10">
                  <c:v>22.6283110914002</c:v>
                </c:pt>
                <c:pt idx="11">
                  <c:v>22.1814409957712</c:v>
                </c:pt>
              </c:numCache>
            </c:numRef>
          </c:val>
        </c:ser>
        <c:ser>
          <c:idx val="1"/>
          <c:order val="2"/>
          <c:tx>
            <c:strRef>
              <c:f>'[27]Diagramme für Broschüre'!$D$1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delete val="1"/>
          </c:dLbls>
          <c:cat>
            <c:strRef>
              <c:f>'[26]BGA 13_Diagramme'!$A$3:$A$14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'[27]Diagramme für Broschüre'!$D$3:$D$14</c:f>
              <c:numCache>
                <c:formatCode>General</c:formatCode>
                <c:ptCount val="12"/>
                <c:pt idx="0">
                  <c:v>3.94629238698389</c:v>
                </c:pt>
                <c:pt idx="1">
                  <c:v>3.88954200955502</c:v>
                </c:pt>
                <c:pt idx="2">
                  <c:v>4.03423482310646</c:v>
                </c:pt>
                <c:pt idx="3">
                  <c:v>4.58205144989199</c:v>
                </c:pt>
                <c:pt idx="4">
                  <c:v>3.34270828530592</c:v>
                </c:pt>
                <c:pt idx="5">
                  <c:v>4.32795512776124</c:v>
                </c:pt>
                <c:pt idx="6">
                  <c:v>4.06831547571095</c:v>
                </c:pt>
                <c:pt idx="7">
                  <c:v>5.06108553989948</c:v>
                </c:pt>
                <c:pt idx="8">
                  <c:v>8.35108171729627</c:v>
                </c:pt>
                <c:pt idx="9">
                  <c:v>3.98908407647111</c:v>
                </c:pt>
                <c:pt idx="10">
                  <c:v>2.51985646897553</c:v>
                </c:pt>
                <c:pt idx="11">
                  <c:v>2.14766350168887</c:v>
                </c:pt>
              </c:numCache>
            </c:numRef>
          </c:val>
        </c:ser>
        <c:ser>
          <c:idx val="2"/>
          <c:order val="3"/>
          <c:tx>
            <c:strRef>
              <c:f>'[27]Diagramme für Broschüre'!$E$1</c:f>
              <c:strCache>
                <c:ptCount val="1"/>
                <c:pt idx="0">
                  <c:v>Kleie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'[26]BGA 13_Diagramme'!$A$3:$A$14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'[27]Diagramme für Broschüre'!$E$3:$E$14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3.98908407647111</c:v>
                </c:pt>
                <c:pt idx="10">
                  <c:v>2.51985646897553</c:v>
                </c:pt>
                <c:pt idx="11">
                  <c:v>2.14766350168887</c:v>
                </c:pt>
              </c:numCache>
            </c:numRef>
          </c:val>
        </c:ser>
        <c:ser>
          <c:idx val="3"/>
          <c:order val="4"/>
          <c:tx>
            <c:strRef>
              <c:f>'[27]Diagramme für Broschüre'!$F$1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'[26]BGA 13_Diagramme'!$A$3:$A$14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'[27]Diagramme für Broschüre'!$F$3:$F$14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0.537071349928838</c:v>
                </c:pt>
                <c:pt idx="7">
                  <c:v>0.956822141871544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5"/>
          <c:tx>
            <c:strRef>
              <c:f>'[27]Diagramme für Broschüre'!$J$1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'[26]BGA 13_Diagramme'!$A$3:$A$14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'[27]Diagramme für Broschüre'!$J$3:$J$14</c:f>
              <c:numCache>
                <c:formatCode>General</c:formatCode>
                <c:ptCount val="12"/>
                <c:pt idx="0">
                  <c:v>0.0589566573477112</c:v>
                </c:pt>
                <c:pt idx="1">
                  <c:v>0.0600315165461867</c:v>
                </c:pt>
                <c:pt idx="2">
                  <c:v>0.0633221668436964</c:v>
                </c:pt>
                <c:pt idx="3">
                  <c:v>0.0676398071174533</c:v>
                </c:pt>
                <c:pt idx="4">
                  <c:v>0.0645488496472867</c:v>
                </c:pt>
                <c:pt idx="5">
                  <c:v>0.0613333069534164</c:v>
                </c:pt>
                <c:pt idx="6">
                  <c:v>0.0644485619914606</c:v>
                </c:pt>
                <c:pt idx="7">
                  <c:v>0.0624452345221429</c:v>
                </c:pt>
                <c:pt idx="8">
                  <c:v>0.0672570339648021</c:v>
                </c:pt>
                <c:pt idx="9">
                  <c:v>0.0616381838607375</c:v>
                </c:pt>
                <c:pt idx="10">
                  <c:v>0.0624924404305931</c:v>
                </c:pt>
                <c:pt idx="11">
                  <c:v>0.063831484879917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54657664"/>
        <c:axId val="254659584"/>
      </c:barChart>
      <c:lineChart>
        <c:grouping val="stacked"/>
        <c:varyColors val="0"/>
        <c:ser>
          <c:idx val="7"/>
          <c:order val="6"/>
          <c:tx>
            <c:strRef>
              <c:f>'[27]Diagramme für Broschüre'!$H$1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'[27]Diagramme für Broschüre'!$H$3:$H$14</c:f>
              <c:numCache>
                <c:formatCode>General</c:formatCode>
                <c:ptCount val="12"/>
                <c:pt idx="0">
                  <c:v>67.8464516129032</c:v>
                </c:pt>
                <c:pt idx="1">
                  <c:v>66.6316666666667</c:v>
                </c:pt>
                <c:pt idx="2">
                  <c:v>63.1690322580645</c:v>
                </c:pt>
                <c:pt idx="3">
                  <c:v>59.1367741935484</c:v>
                </c:pt>
                <c:pt idx="4">
                  <c:v>61.9685714285714</c:v>
                </c:pt>
                <c:pt idx="5">
                  <c:v>65.2174193548387</c:v>
                </c:pt>
                <c:pt idx="6">
                  <c:v>62.065</c:v>
                </c:pt>
                <c:pt idx="7">
                  <c:v>64.0561290322581</c:v>
                </c:pt>
                <c:pt idx="8">
                  <c:v>59.4733333333333</c:v>
                </c:pt>
                <c:pt idx="9">
                  <c:v>64.8948387096774</c:v>
                </c:pt>
                <c:pt idx="10">
                  <c:v>64.0077419354839</c:v>
                </c:pt>
                <c:pt idx="11">
                  <c:v>62.665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667776"/>
        <c:axId val="254665856"/>
      </c:lineChart>
      <c:catAx>
        <c:axId val="25465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659584"/>
        <c:crosses val="autoZero"/>
        <c:auto val="1"/>
        <c:lblAlgn val="ctr"/>
        <c:lblOffset val="100"/>
        <c:noMultiLvlLbl val="1"/>
      </c:catAx>
      <c:valAx>
        <c:axId val="25465958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657664"/>
        <c:crosses val="autoZero"/>
        <c:crossBetween val="between"/>
      </c:valAx>
      <c:catAx>
        <c:axId val="25466777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665856"/>
        <c:crosses val="autoZero"/>
        <c:auto val="1"/>
        <c:lblAlgn val="ctr"/>
        <c:lblOffset val="100"/>
        <c:noMultiLvlLbl val="0"/>
      </c:catAx>
      <c:valAx>
        <c:axId val="254665856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66777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560294117647"/>
          <c:y val="0.0456535947712418"/>
          <c:w val="0.860612908496732"/>
          <c:h val="0.8710352941176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'[26]BGA 13_Diagramme'!$B$38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'[26]BGA 13_Diagramme'!$A$40:$A$51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'[26]BGA 13_Diagramme'!$B$40:$B$51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'[26]BGA 13_Diagramme'!$C$38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'[26]BGA 13_Diagramme'!$A$40:$A$51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'[26]BGA 13_Diagramme'!$C$40:$C$51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313600"/>
        <c:axId val="254315136"/>
      </c:barChart>
      <c:catAx>
        <c:axId val="25431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315136"/>
        <c:crosses val="autoZero"/>
        <c:auto val="1"/>
        <c:lblAlgn val="ctr"/>
        <c:lblOffset val="100"/>
        <c:noMultiLvlLbl val="1"/>
      </c:catAx>
      <c:valAx>
        <c:axId val="254315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313600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34172875816993"/>
          <c:y val="0.0583941176470588"/>
          <c:w val="0.833337254901961"/>
          <c:h val="0.0700372549019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'[24]BGA 12_Diagramme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'[24]BGA 12_Diagramme 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'[26]BGA 13_Diagramme'!$E$22:$E$33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336000"/>
        <c:axId val="254354176"/>
      </c:barChart>
      <c:catAx>
        <c:axId val="25433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354176"/>
        <c:crosses val="autoZero"/>
        <c:auto val="1"/>
        <c:lblAlgn val="ctr"/>
        <c:lblOffset val="100"/>
        <c:noMultiLvlLbl val="1"/>
      </c:catAx>
      <c:valAx>
        <c:axId val="254354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336000"/>
        <c:crosses val="autoZero"/>
        <c:crossBetween val="between"/>
        <c:majorUnit val="0.1"/>
        <c:minorUnit val="0.0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'[25]BGA 14_Diagramme'!$B$1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dLbls>
            <c:delete val="1"/>
          </c:dLbls>
          <c:val>
            <c:numRef>
              <c:f>'[25]BGA 14_Diagramme'!$B$3:$B$14</c:f>
              <c:numCache>
                <c:formatCode>General</c:formatCode>
                <c:ptCount val="12"/>
                <c:pt idx="0">
                  <c:v>5.21479439467034</c:v>
                </c:pt>
                <c:pt idx="1">
                  <c:v>5.02734539335297</c:v>
                </c:pt>
                <c:pt idx="2">
                  <c:v>5.62195661797255</c:v>
                </c:pt>
                <c:pt idx="3">
                  <c:v>4.76080425236885</c:v>
                </c:pt>
                <c:pt idx="4">
                  <c:v>3.84990253411306</c:v>
                </c:pt>
                <c:pt idx="5">
                  <c:v>5.08669497523001</c:v>
                </c:pt>
                <c:pt idx="6">
                  <c:v>3.6620191500084</c:v>
                </c:pt>
                <c:pt idx="7">
                  <c:v>5.07528336998816</c:v>
                </c:pt>
                <c:pt idx="8">
                  <c:v>4.45847684653655</c:v>
                </c:pt>
                <c:pt idx="9">
                  <c:v>4.82578721818521</c:v>
                </c:pt>
                <c:pt idx="10">
                  <c:v>4.6927374301676</c:v>
                </c:pt>
                <c:pt idx="11">
                  <c:v>5.65742397137746</c:v>
                </c:pt>
              </c:numCache>
            </c:numRef>
          </c:val>
        </c:ser>
        <c:ser>
          <c:idx val="6"/>
          <c:order val="1"/>
          <c:tx>
            <c:strRef>
              <c:f>'[25]BGA 14_Diagramme'!$C$1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delete val="1"/>
          </c:dLbls>
          <c:cat>
            <c:numRef>
              <c:f>'BGA 14_Diagrams'!#REF!</c:f>
              <c:numCache>
                <c:ptCount val="0"/>
              </c:numCache>
            </c:numRef>
          </c:cat>
          <c:val>
            <c:numRef>
              <c:f>'[25]BGA 14_Diagramme'!$C$3:$C$14</c:f>
              <c:numCache>
                <c:formatCode>General</c:formatCode>
                <c:ptCount val="12"/>
                <c:pt idx="0">
                  <c:v>68.320698368941</c:v>
                </c:pt>
                <c:pt idx="1">
                  <c:v>70.3828355069415</c:v>
                </c:pt>
                <c:pt idx="2">
                  <c:v>67.286409915892</c:v>
                </c:pt>
                <c:pt idx="3">
                  <c:v>69.1934365611278</c:v>
                </c:pt>
                <c:pt idx="4">
                  <c:v>70.8089668615984</c:v>
                </c:pt>
                <c:pt idx="5">
                  <c:v>69.6656050955414</c:v>
                </c:pt>
                <c:pt idx="6">
                  <c:v>77.9774903410045</c:v>
                </c:pt>
                <c:pt idx="7">
                  <c:v>70.7156149551683</c:v>
                </c:pt>
                <c:pt idx="8">
                  <c:v>71.5269804822044</c:v>
                </c:pt>
                <c:pt idx="9">
                  <c:v>71.8837339295696</c:v>
                </c:pt>
                <c:pt idx="10">
                  <c:v>71.5083798882682</c:v>
                </c:pt>
                <c:pt idx="11">
                  <c:v>66.3685152057245</c:v>
                </c:pt>
              </c:numCache>
            </c:numRef>
          </c:val>
        </c:ser>
        <c:ser>
          <c:idx val="4"/>
          <c:order val="2"/>
          <c:tx>
            <c:strRef>
              <c:f>'[25]BGA 14_Diagramme'!$D$1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cat>
            <c:numRef>
              <c:f>'BGA 14_Diagrams'!#REF!</c:f>
              <c:numCache>
                <c:ptCount val="0"/>
              </c:numCache>
            </c:numRef>
          </c:cat>
          <c:val>
            <c:numRef>
              <c:f>'[25]BGA 14_Diagramme'!$D$3:$D$14</c:f>
              <c:numCache>
                <c:formatCode>General</c:formatCode>
                <c:ptCount val="12"/>
                <c:pt idx="0">
                  <c:v>14.2889960946474</c:v>
                </c:pt>
                <c:pt idx="1">
                  <c:v>12.620950778292</c:v>
                </c:pt>
                <c:pt idx="2">
                  <c:v>13.7228862328464</c:v>
                </c:pt>
                <c:pt idx="3">
                  <c:v>16.1081580771897</c:v>
                </c:pt>
                <c:pt idx="4">
                  <c:v>17.8849902534113</c:v>
                </c:pt>
                <c:pt idx="5">
                  <c:v>17.4274593064402</c:v>
                </c:pt>
                <c:pt idx="6">
                  <c:v>11.5236015454393</c:v>
                </c:pt>
                <c:pt idx="7">
                  <c:v>11.2502114701404</c:v>
                </c:pt>
                <c:pt idx="8">
                  <c:v>9.68235744355147</c:v>
                </c:pt>
                <c:pt idx="9">
                  <c:v>10.7136202720328</c:v>
                </c:pt>
                <c:pt idx="10">
                  <c:v>13.6685288640596</c:v>
                </c:pt>
                <c:pt idx="11">
                  <c:v>16.1001788908766</c:v>
                </c:pt>
              </c:numCache>
            </c:numRef>
          </c:val>
        </c:ser>
        <c:ser>
          <c:idx val="3"/>
          <c:order val="3"/>
          <c:tx>
            <c:strRef>
              <c:f>'[25]BGA 14_Diagramme'!$G$1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cat>
            <c:numRef>
              <c:f>'BGA 14_Diagrams'!#REF!</c:f>
              <c:numCache>
                <c:ptCount val="0"/>
              </c:numCache>
            </c:numRef>
          </c:cat>
          <c:val>
            <c:numRef>
              <c:f>'[25]BGA 14_Diagramme'!$G$3:$G$14</c:f>
              <c:numCache>
                <c:formatCode>General</c:formatCode>
                <c:ptCount val="12"/>
                <c:pt idx="0">
                  <c:v>6.7539627842867</c:v>
                </c:pt>
                <c:pt idx="1">
                  <c:v>5.65839293226756</c:v>
                </c:pt>
                <c:pt idx="2">
                  <c:v>6.24169986719787</c:v>
                </c:pt>
                <c:pt idx="3">
                  <c:v>6.51721747168939</c:v>
                </c:pt>
                <c:pt idx="4">
                  <c:v>5.57992202729045</c:v>
                </c:pt>
                <c:pt idx="5">
                  <c:v>5.57324840764331</c:v>
                </c:pt>
                <c:pt idx="6">
                  <c:v>4.21636149840417</c:v>
                </c:pt>
                <c:pt idx="7">
                  <c:v>6.28066317036035</c:v>
                </c:pt>
                <c:pt idx="8">
                  <c:v>6.62074244163796</c:v>
                </c:pt>
                <c:pt idx="9">
                  <c:v>7.47158561580026</c:v>
                </c:pt>
                <c:pt idx="10">
                  <c:v>8.47299813780261</c:v>
                </c:pt>
                <c:pt idx="11">
                  <c:v>9.41413237924866</c:v>
                </c:pt>
              </c:numCache>
            </c:numRef>
          </c:val>
        </c:ser>
        <c:ser>
          <c:idx val="2"/>
          <c:order val="4"/>
          <c:tx>
            <c:strRef>
              <c:f>'[25]BGA 14_Diagramme'!$F$1</c:f>
              <c:strCache>
                <c:ptCount val="1"/>
                <c:pt idx="0">
                  <c:v>Zuckerrüben</c:v>
                </c:pt>
              </c:strCache>
            </c:strRef>
          </c:tx>
          <c:invertIfNegative val="0"/>
          <c:dLbls>
            <c:delete val="1"/>
          </c:dLbls>
          <c:cat>
            <c:numRef>
              <c:f>'BGA 14_Diagrams'!#REF!</c:f>
              <c:numCache>
                <c:ptCount val="0"/>
              </c:numCache>
            </c:numRef>
          </c:cat>
          <c:val>
            <c:numRef>
              <c:f>'[25]BGA 14_Diagramme'!$F$3:$F$14</c:f>
              <c:numCache>
                <c:formatCode>General</c:formatCode>
                <c:ptCount val="12"/>
                <c:pt idx="0">
                  <c:v>3.81346198024351</c:v>
                </c:pt>
                <c:pt idx="1">
                  <c:v>5.04838031131679</c:v>
                </c:pt>
                <c:pt idx="2">
                  <c:v>5.48915449313856</c:v>
                </c:pt>
                <c:pt idx="3">
                  <c:v>1.38664201525306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0.536672629695885</c:v>
                </c:pt>
              </c:numCache>
            </c:numRef>
          </c:val>
        </c:ser>
        <c:ser>
          <c:idx val="5"/>
          <c:order val="5"/>
          <c:tx>
            <c:strRef>
              <c:f>'[25]BGA 14_Diagramme'!$H$1</c:f>
              <c:strCache>
                <c:ptCount val="1"/>
                <c:pt idx="0">
                  <c:v>Kartoffeln</c:v>
                </c:pt>
              </c:strCache>
            </c:strRef>
          </c:tx>
          <c:invertIfNegative val="0"/>
          <c:dLbls>
            <c:delete val="1"/>
          </c:dLbls>
          <c:val>
            <c:numRef>
              <c:f>'[25]BGA 14_Diagramme'!$H$3:$H$14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1.29346547959012</c:v>
                </c:pt>
                <c:pt idx="7">
                  <c:v>5.62510573507021</c:v>
                </c:pt>
                <c:pt idx="8">
                  <c:v>6.62074244163796</c:v>
                </c:pt>
                <c:pt idx="9">
                  <c:v>3.80100614868642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6"/>
          <c:tx>
            <c:strRef>
              <c:f>'[25]BGA 14_Diagramme'!$E$1</c:f>
              <c:strCache>
                <c:ptCount val="1"/>
                <c:pt idx="0">
                  <c:v>Getreideschrot</c:v>
                </c:pt>
              </c:strCache>
            </c:strRef>
          </c:tx>
          <c:invertIfNegative val="0"/>
          <c:dLbls>
            <c:delete val="1"/>
          </c:dLbls>
          <c:cat>
            <c:numRef>
              <c:f>'BGA 14_Diagrams'!#REF!</c:f>
              <c:numCache>
                <c:ptCount val="0"/>
              </c:numCache>
            </c:numRef>
          </c:cat>
          <c:val>
            <c:numRef>
              <c:f>'[25]BGA 14_Diagramme'!$E$3:$E$14</c:f>
              <c:numCache>
                <c:formatCode>General</c:formatCode>
                <c:ptCount val="12"/>
                <c:pt idx="0">
                  <c:v>1.60808637721112</c:v>
                </c:pt>
                <c:pt idx="1">
                  <c:v>1.2620950778292</c:v>
                </c:pt>
                <c:pt idx="2">
                  <c:v>1.63789287295263</c:v>
                </c:pt>
                <c:pt idx="3">
                  <c:v>2.03374162237116</c:v>
                </c:pt>
                <c:pt idx="4">
                  <c:v>1.87621832358674</c:v>
                </c:pt>
                <c:pt idx="5">
                  <c:v>2.24699221514508</c:v>
                </c:pt>
                <c:pt idx="6">
                  <c:v>1.3270619855535</c:v>
                </c:pt>
                <c:pt idx="7">
                  <c:v>1.05312129927254</c:v>
                </c:pt>
                <c:pt idx="8">
                  <c:v>1.09070034443169</c:v>
                </c:pt>
                <c:pt idx="9">
                  <c:v>1.30426681572573</c:v>
                </c:pt>
                <c:pt idx="10">
                  <c:v>1.65735567970205</c:v>
                </c:pt>
                <c:pt idx="11">
                  <c:v>1.92307692307692</c:v>
                </c:pt>
              </c:numCache>
            </c:numRef>
          </c:val>
        </c:ser>
        <c:ser>
          <c:idx val="9"/>
          <c:order val="7"/>
          <c:tx>
            <c:strRef>
              <c:f>'[25]BGA 14_Diagramme'!$K$1</c:f>
              <c:strCache>
                <c:ptCount val="1"/>
                <c:pt idx="0">
                  <c:v>Additive</c:v>
                </c:pt>
              </c:strCache>
            </c:strRef>
          </c:tx>
          <c:invertIfNegative val="0"/>
          <c:dLbls>
            <c:delete val="1"/>
          </c:dLbls>
          <c:cat>
            <c:numRef>
              <c:f>'BGA 14_Diagrams'!#REF!</c:f>
              <c:numCache>
                <c:ptCount val="0"/>
              </c:numCache>
            </c:numRef>
          </c:cat>
          <c:val>
            <c:numRef>
              <c:f>'[25]BGA 14_Diagramme'!$K$3:$K$14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313984"/>
        <c:axId val="252315904"/>
      </c:barChart>
      <c:lineChart>
        <c:grouping val="stacked"/>
        <c:varyColors val="0"/>
        <c:ser>
          <c:idx val="7"/>
          <c:order val="8"/>
          <c:tx>
            <c:strRef>
              <c:f>'[25]BGA 14_Diagramme'!$I$1</c:f>
              <c:strCache>
                <c:ptCount val="1"/>
                <c:pt idx="0">
                  <c:v>Fütterungsmenge [t/d]</c:v>
                </c:pt>
              </c:strCache>
            </c:strRef>
          </c:tx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'[25]BGA 14_Diagramme'!$I$3:$I$14</c:f>
              <c:numCache>
                <c:formatCode>General</c:formatCode>
                <c:ptCount val="12"/>
                <c:pt idx="0">
                  <c:v>70.2096774193548</c:v>
                </c:pt>
                <c:pt idx="1">
                  <c:v>76.6774193548387</c:v>
                </c:pt>
                <c:pt idx="2">
                  <c:v>72.8709677419355</c:v>
                </c:pt>
                <c:pt idx="3">
                  <c:v>69.7903225806452</c:v>
                </c:pt>
                <c:pt idx="4">
                  <c:v>66.1935483870968</c:v>
                </c:pt>
                <c:pt idx="5">
                  <c:v>72.9290322580645</c:v>
                </c:pt>
                <c:pt idx="6">
                  <c:v>96.0161290322581</c:v>
                </c:pt>
                <c:pt idx="7">
                  <c:v>76.2709677419355</c:v>
                </c:pt>
                <c:pt idx="8">
                  <c:v>84.2903225806452</c:v>
                </c:pt>
                <c:pt idx="9">
                  <c:v>86.5645161290323</c:v>
                </c:pt>
                <c:pt idx="10">
                  <c:v>86.6129032258064</c:v>
                </c:pt>
                <c:pt idx="11">
                  <c:v>72.1290322580645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320000"/>
        <c:axId val="252318080"/>
      </c:lineChart>
      <c:dateAx>
        <c:axId val="252313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315904"/>
        <c:crosses val="autoZero"/>
        <c:auto val="0"/>
        <c:lblAlgn val="ctr"/>
        <c:lblOffset val="100"/>
        <c:baseTimeUnit val="days"/>
      </c:dateAx>
      <c:valAx>
        <c:axId val="2523159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313984"/>
        <c:crosses val="autoZero"/>
        <c:crossBetween val="between"/>
      </c:valAx>
      <c:catAx>
        <c:axId val="25232000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318080"/>
        <c:crosses val="autoZero"/>
        <c:auto val="1"/>
        <c:lblAlgn val="ctr"/>
        <c:lblOffset val="100"/>
        <c:noMultiLvlLbl val="0"/>
      </c:catAx>
      <c:valAx>
        <c:axId val="252318080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32000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034643137254902"/>
          <c:y val="0.88926184262544"/>
          <c:w val="0.92656339869281"/>
          <c:h val="0.1107381573745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'[25]BGA 14_Diagramme'!$F$40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'[25]BGA 14_Diagramme'!$A$42:$A$53</c:f>
              <c:numCache>
                <c:formatCode>General</c:formatCode>
                <c:ptCount val="1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</c:numCache>
            </c:numRef>
          </c:cat>
          <c:val>
            <c:numRef>
              <c:f>'[25]BGA 14_Diagramme'!$F$42:$F$53</c:f>
              <c:numCache>
                <c:formatCode>General</c:formatCode>
                <c:ptCount val="12"/>
                <c:pt idx="0">
                  <c:v>0.966781978964687</c:v>
                </c:pt>
                <c:pt idx="1">
                  <c:v>0.987852762598664</c:v>
                </c:pt>
                <c:pt idx="2">
                  <c:v>0.995664698278395</c:v>
                </c:pt>
                <c:pt idx="3">
                  <c:v>0.952929960632235</c:v>
                </c:pt>
                <c:pt idx="4">
                  <c:v>0.97388368462139</c:v>
                </c:pt>
                <c:pt idx="5">
                  <c:v>0.989676391092309</c:v>
                </c:pt>
                <c:pt idx="6">
                  <c:v>0.99005904675167</c:v>
                </c:pt>
                <c:pt idx="7">
                  <c:v>0.972735325224749</c:v>
                </c:pt>
                <c:pt idx="8">
                  <c:v>0.95739313904068</c:v>
                </c:pt>
                <c:pt idx="9">
                  <c:v>0.923842470180387</c:v>
                </c:pt>
                <c:pt idx="10">
                  <c:v>0.940768552793936</c:v>
                </c:pt>
                <c:pt idx="11">
                  <c:v>0.974302823315118</c:v>
                </c:pt>
              </c:numCache>
            </c:numRef>
          </c:val>
        </c:ser>
        <c:ser>
          <c:idx val="1"/>
          <c:order val="1"/>
          <c:tx>
            <c:strRef>
              <c:f>'[25]BGA 14_Diagramme'!$G$40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'[25]BGA 14_Diagramme'!$A$42:$A$53</c:f>
              <c:numCache>
                <c:formatCode>General</c:formatCode>
                <c:ptCount val="1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</c:numCache>
            </c:numRef>
          </c:cat>
          <c:val>
            <c:numRef>
              <c:f>'[25]BGA 14_Diagramme'!$G$42:$G$53</c:f>
              <c:numCache>
                <c:formatCode>General</c:formatCode>
                <c:ptCount val="12"/>
                <c:pt idx="0">
                  <c:v>0.1636180693218</c:v>
                </c:pt>
                <c:pt idx="1">
                  <c:v>0.287502586385268</c:v>
                </c:pt>
                <c:pt idx="2">
                  <c:v>0.284836106605795</c:v>
                </c:pt>
                <c:pt idx="3">
                  <c:v>0.326435193528363</c:v>
                </c:pt>
                <c:pt idx="4">
                  <c:v>0.281380242972422</c:v>
                </c:pt>
                <c:pt idx="5">
                  <c:v>0.227568530866422</c:v>
                </c:pt>
                <c:pt idx="6">
                  <c:v>0.190487274984482</c:v>
                </c:pt>
                <c:pt idx="7">
                  <c:v>0.114685328687852</c:v>
                </c:pt>
                <c:pt idx="8">
                  <c:v>0.0924115456238361</c:v>
                </c:pt>
                <c:pt idx="9">
                  <c:v>0.0797691275705332</c:v>
                </c:pt>
                <c:pt idx="10">
                  <c:v>0.0961634728980197</c:v>
                </c:pt>
                <c:pt idx="11">
                  <c:v>0.121585971446307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3809024"/>
        <c:axId val="253810560"/>
      </c:barChart>
      <c:catAx>
        <c:axId val="25380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810560"/>
        <c:crosses val="autoZero"/>
        <c:auto val="1"/>
        <c:lblAlgn val="ctr"/>
        <c:lblOffset val="100"/>
        <c:noMultiLvlLbl val="1"/>
      </c:catAx>
      <c:valAx>
        <c:axId val="2538105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</a:t>
                </a:r>
                <a:r>
                  <a:rPr lang="de-DE" baseline="0"/>
                  <a:t>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8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57101302704134"/>
          <c:h val="0.723167930392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'[28]Diagramme für Broschüre'!$B$1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dLbls>
            <c:delete val="1"/>
          </c:dLbls>
          <c:cat>
            <c:strRef>
              <c:f>'[29]BGA 14_Diagramme'!$A$3:$A$14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'[28]Diagramme für Broschüre'!$B$3:$B$14</c:f>
              <c:numCache>
                <c:formatCode>General</c:formatCode>
                <c:ptCount val="12"/>
                <c:pt idx="0">
                  <c:v>5.21479439467034</c:v>
                </c:pt>
                <c:pt idx="1">
                  <c:v>5.02734539335297</c:v>
                </c:pt>
                <c:pt idx="2">
                  <c:v>5.62195661797255</c:v>
                </c:pt>
                <c:pt idx="3">
                  <c:v>4.76080425236885</c:v>
                </c:pt>
                <c:pt idx="4">
                  <c:v>3.84990253411306</c:v>
                </c:pt>
                <c:pt idx="5">
                  <c:v>5.08669497523001</c:v>
                </c:pt>
                <c:pt idx="6">
                  <c:v>3.6620191500084</c:v>
                </c:pt>
                <c:pt idx="7">
                  <c:v>5.07528336998816</c:v>
                </c:pt>
                <c:pt idx="8">
                  <c:v>4.45847684653655</c:v>
                </c:pt>
                <c:pt idx="9">
                  <c:v>4.82578721818521</c:v>
                </c:pt>
                <c:pt idx="10">
                  <c:v>4.6927374301676</c:v>
                </c:pt>
                <c:pt idx="11">
                  <c:v>5.65742397137746</c:v>
                </c:pt>
              </c:numCache>
            </c:numRef>
          </c:val>
        </c:ser>
        <c:ser>
          <c:idx val="6"/>
          <c:order val="1"/>
          <c:tx>
            <c:strRef>
              <c:f>'[28]Diagramme für Broschüre'!$C$1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'[29]BGA 14_Diagramme'!$A$3:$A$14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'[28]Diagramme für Broschüre'!$C$3:$C$14</c:f>
              <c:numCache>
                <c:formatCode>General</c:formatCode>
                <c:ptCount val="12"/>
                <c:pt idx="0">
                  <c:v>68.320698368941</c:v>
                </c:pt>
                <c:pt idx="1">
                  <c:v>70.3828355069415</c:v>
                </c:pt>
                <c:pt idx="2">
                  <c:v>67.286409915892</c:v>
                </c:pt>
                <c:pt idx="3">
                  <c:v>69.1934365611278</c:v>
                </c:pt>
                <c:pt idx="4">
                  <c:v>70.8089668615984</c:v>
                </c:pt>
                <c:pt idx="5">
                  <c:v>69.6656050955414</c:v>
                </c:pt>
                <c:pt idx="6">
                  <c:v>77.9774903410045</c:v>
                </c:pt>
                <c:pt idx="7">
                  <c:v>70.7156149551683</c:v>
                </c:pt>
                <c:pt idx="8">
                  <c:v>71.5269804822044</c:v>
                </c:pt>
                <c:pt idx="9">
                  <c:v>71.8837339295696</c:v>
                </c:pt>
                <c:pt idx="10">
                  <c:v>71.5083798882682</c:v>
                </c:pt>
                <c:pt idx="11">
                  <c:v>66.3685152057245</c:v>
                </c:pt>
              </c:numCache>
            </c:numRef>
          </c:val>
        </c:ser>
        <c:ser>
          <c:idx val="4"/>
          <c:order val="2"/>
          <c:tx>
            <c:strRef>
              <c:f>'[29]BGA 14_Diagramme'!$D$1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'[29]BGA 14_Diagramme'!$A$3:$A$14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'[28]Diagramme für Broschüre'!$D$3:$D$14</c:f>
              <c:numCache>
                <c:formatCode>General</c:formatCode>
                <c:ptCount val="12"/>
                <c:pt idx="0">
                  <c:v>14.2889960946474</c:v>
                </c:pt>
                <c:pt idx="1">
                  <c:v>12.620950778292</c:v>
                </c:pt>
                <c:pt idx="2">
                  <c:v>13.7228862328464</c:v>
                </c:pt>
                <c:pt idx="3">
                  <c:v>16.1081580771897</c:v>
                </c:pt>
                <c:pt idx="4">
                  <c:v>17.8849902534113</c:v>
                </c:pt>
                <c:pt idx="5">
                  <c:v>17.4274593064402</c:v>
                </c:pt>
                <c:pt idx="6">
                  <c:v>11.5236015454393</c:v>
                </c:pt>
                <c:pt idx="7">
                  <c:v>11.2502114701404</c:v>
                </c:pt>
                <c:pt idx="8">
                  <c:v>9.68235744355147</c:v>
                </c:pt>
                <c:pt idx="9">
                  <c:v>10.7136202720328</c:v>
                </c:pt>
                <c:pt idx="10">
                  <c:v>13.6685288640596</c:v>
                </c:pt>
                <c:pt idx="11">
                  <c:v>16.1001788908766</c:v>
                </c:pt>
              </c:numCache>
            </c:numRef>
          </c:val>
        </c:ser>
        <c:ser>
          <c:idx val="3"/>
          <c:order val="3"/>
          <c:tx>
            <c:strRef>
              <c:f>'[28]Diagramme für Broschüre'!$G$1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'[29]BGA 14_Diagramme'!$A$3:$A$14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'[28]Diagramme für Broschüre'!$G$3:$G$14</c:f>
              <c:numCache>
                <c:formatCode>General</c:formatCode>
                <c:ptCount val="12"/>
                <c:pt idx="0">
                  <c:v>6.7539627842867</c:v>
                </c:pt>
                <c:pt idx="1">
                  <c:v>5.65839293226756</c:v>
                </c:pt>
                <c:pt idx="2">
                  <c:v>6.24169986719787</c:v>
                </c:pt>
                <c:pt idx="3">
                  <c:v>6.51721747168939</c:v>
                </c:pt>
                <c:pt idx="4">
                  <c:v>5.57992202729045</c:v>
                </c:pt>
                <c:pt idx="5">
                  <c:v>5.57324840764331</c:v>
                </c:pt>
                <c:pt idx="6">
                  <c:v>4.21636149840417</c:v>
                </c:pt>
                <c:pt idx="7">
                  <c:v>6.28066317036035</c:v>
                </c:pt>
                <c:pt idx="8">
                  <c:v>6.62074244163796</c:v>
                </c:pt>
                <c:pt idx="9">
                  <c:v>7.47158561580026</c:v>
                </c:pt>
                <c:pt idx="10">
                  <c:v>8.47299813780261</c:v>
                </c:pt>
                <c:pt idx="11">
                  <c:v>9.41413237924866</c:v>
                </c:pt>
              </c:numCache>
            </c:numRef>
          </c:val>
        </c:ser>
        <c:ser>
          <c:idx val="2"/>
          <c:order val="4"/>
          <c:tx>
            <c:strRef>
              <c:f>'[28]Diagramme für Broschüre'!$F$1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'[29]BGA 14_Diagramme'!$A$3:$A$14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'[28]Diagramme für Broschüre'!$F$3:$F$14</c:f>
              <c:numCache>
                <c:formatCode>General</c:formatCode>
                <c:ptCount val="12"/>
                <c:pt idx="0">
                  <c:v>3.81346198024351</c:v>
                </c:pt>
                <c:pt idx="1">
                  <c:v>5.04838031131679</c:v>
                </c:pt>
                <c:pt idx="2">
                  <c:v>5.48915449313856</c:v>
                </c:pt>
                <c:pt idx="3">
                  <c:v>1.38664201525306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0.536672629695885</c:v>
                </c:pt>
              </c:numCache>
            </c:numRef>
          </c:val>
        </c:ser>
        <c:ser>
          <c:idx val="5"/>
          <c:order val="5"/>
          <c:tx>
            <c:strRef>
              <c:f>'[28]Diagramme für Broschüre'!$H$1</c:f>
              <c:strCache>
                <c:ptCount val="1"/>
                <c:pt idx="0">
                  <c:v>Kartoffeln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</c:spPr>
          <c:invertIfNegative val="0"/>
          <c:dLbls>
            <c:delete val="1"/>
          </c:dLbls>
          <c:cat>
            <c:strRef>
              <c:f>'[29]BGA 14_Diagramme'!$A$3:$A$14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'[28]Diagramme für Broschüre'!$H$3:$H$14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1.29346547959012</c:v>
                </c:pt>
                <c:pt idx="7">
                  <c:v>5.62510573507021</c:v>
                </c:pt>
                <c:pt idx="8">
                  <c:v>6.62074244163796</c:v>
                </c:pt>
                <c:pt idx="9">
                  <c:v>3.80100614868642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6"/>
          <c:tx>
            <c:strRef>
              <c:f>'[28]Diagramme für Broschüre'!$E$1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delete val="1"/>
          </c:dLbls>
          <c:cat>
            <c:strRef>
              <c:f>'[29]BGA 14_Diagramme'!$A$3:$A$14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'[28]Diagramme für Broschüre'!$E$3:$E$14</c:f>
              <c:numCache>
                <c:formatCode>General</c:formatCode>
                <c:ptCount val="12"/>
                <c:pt idx="0">
                  <c:v>1.60808637721112</c:v>
                </c:pt>
                <c:pt idx="1">
                  <c:v>1.2620950778292</c:v>
                </c:pt>
                <c:pt idx="2">
                  <c:v>1.63789287295263</c:v>
                </c:pt>
                <c:pt idx="3">
                  <c:v>2.03374162237116</c:v>
                </c:pt>
                <c:pt idx="4">
                  <c:v>1.87621832358674</c:v>
                </c:pt>
                <c:pt idx="5">
                  <c:v>2.24699221514508</c:v>
                </c:pt>
                <c:pt idx="6">
                  <c:v>1.3270619855535</c:v>
                </c:pt>
                <c:pt idx="7">
                  <c:v>1.05312129927254</c:v>
                </c:pt>
                <c:pt idx="8">
                  <c:v>1.09070034443169</c:v>
                </c:pt>
                <c:pt idx="9">
                  <c:v>1.30426681572573</c:v>
                </c:pt>
                <c:pt idx="10">
                  <c:v>1.65735567970205</c:v>
                </c:pt>
                <c:pt idx="11">
                  <c:v>1.92307692307692</c:v>
                </c:pt>
              </c:numCache>
            </c:numRef>
          </c:val>
        </c:ser>
        <c:ser>
          <c:idx val="9"/>
          <c:order val="7"/>
          <c:tx>
            <c:strRef>
              <c:f>'[28]Diagramme für Broschüre'!$K$1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'[29]BGA 14_Diagramme'!$A$3:$A$14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'[28]Diagramme für Broschüre'!$K$3:$K$14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3477632"/>
        <c:axId val="253479552"/>
      </c:barChart>
      <c:lineChart>
        <c:grouping val="stacked"/>
        <c:varyColors val="0"/>
        <c:ser>
          <c:idx val="7"/>
          <c:order val="8"/>
          <c:tx>
            <c:strRef>
              <c:f>'[28]Diagramme für Broschüre'!$I$1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'[28]Diagramme für Broschüre'!$I$3:$I$14</c:f>
              <c:numCache>
                <c:formatCode>General</c:formatCode>
                <c:ptCount val="12"/>
                <c:pt idx="0">
                  <c:v>70.2096774193548</c:v>
                </c:pt>
                <c:pt idx="1">
                  <c:v>76.6774193548387</c:v>
                </c:pt>
                <c:pt idx="2">
                  <c:v>72.8709677419355</c:v>
                </c:pt>
                <c:pt idx="3">
                  <c:v>69.7903225806452</c:v>
                </c:pt>
                <c:pt idx="4">
                  <c:v>66.1935483870968</c:v>
                </c:pt>
                <c:pt idx="5">
                  <c:v>72.9290322580645</c:v>
                </c:pt>
                <c:pt idx="6">
                  <c:v>96.0161290322581</c:v>
                </c:pt>
                <c:pt idx="7">
                  <c:v>76.2709677419355</c:v>
                </c:pt>
                <c:pt idx="8">
                  <c:v>84.2903225806452</c:v>
                </c:pt>
                <c:pt idx="9">
                  <c:v>86.5645161290323</c:v>
                </c:pt>
                <c:pt idx="10">
                  <c:v>86.6129032258064</c:v>
                </c:pt>
                <c:pt idx="11">
                  <c:v>72.1290322580645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417536"/>
        <c:axId val="254415616"/>
      </c:lineChart>
      <c:dateAx>
        <c:axId val="25347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479552"/>
        <c:crosses val="autoZero"/>
        <c:auto val="0"/>
        <c:lblAlgn val="ctr"/>
        <c:lblOffset val="100"/>
        <c:baseTimeUnit val="days"/>
      </c:dateAx>
      <c:valAx>
        <c:axId val="25347955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477632"/>
        <c:crosses val="autoZero"/>
        <c:crossBetween val="between"/>
      </c:valAx>
      <c:catAx>
        <c:axId val="25441753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415616"/>
        <c:crosses val="autoZero"/>
        <c:auto val="1"/>
        <c:lblAlgn val="ctr"/>
        <c:lblOffset val="100"/>
        <c:noMultiLvlLbl val="0"/>
      </c:catAx>
      <c:valAx>
        <c:axId val="254415616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28402366863905"/>
              <c:y val="0.02315100336828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41753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00900215875382441"/>
          <c:y val="0.85717634225263"/>
          <c:w val="0.952204413797388"/>
          <c:h val="0.142823657747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6560294117647"/>
          <c:y val="0.0456535947712418"/>
          <c:w val="0.860612908496732"/>
          <c:h val="0.800910200523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'[29]BGA 14_Diagramme'!$F$40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'[29]BGA 14_Diagramme'!$A$42:$A$53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'[29]BGA 14_Diagramme'!$F$42:$F$53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'[29]BGA 14_Diagramme'!$G$40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'[29]BGA 14_Diagramme'!$A$42:$A$53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'[29]BGA 14_Diagramme'!$G$42:$G$53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477056"/>
        <c:axId val="254478592"/>
      </c:barChart>
      <c:catAx>
        <c:axId val="25447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478592"/>
        <c:crosses val="autoZero"/>
        <c:auto val="1"/>
        <c:lblAlgn val="ctr"/>
        <c:lblOffset val="100"/>
        <c:noMultiLvlLbl val="1"/>
      </c:catAx>
      <c:valAx>
        <c:axId val="254478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Auslastung [%]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47705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34172875816993"/>
          <c:y val="0.0583941176470588"/>
          <c:w val="0.833337254901961"/>
          <c:h val="0.0700372549019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'[24]BGA 12_Diagramme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'[26]BGA 13_Diagramme'!$D$22:$D$33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'[26]BGA 13_Diagramme'!$E$22:$E$33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511744"/>
        <c:axId val="254513536"/>
      </c:barChart>
      <c:catAx>
        <c:axId val="2545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513536"/>
        <c:crosses val="autoZero"/>
        <c:auto val="1"/>
        <c:lblAlgn val="ctr"/>
        <c:lblOffset val="100"/>
        <c:noMultiLvlLbl val="1"/>
      </c:catAx>
      <c:valAx>
        <c:axId val="2545135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511744"/>
        <c:crosses val="autoZero"/>
        <c:crossBetween val="between"/>
        <c:majorUnit val="0.1"/>
        <c:minorUnit val="0.0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196413932650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'[30]Diagramme für Broschüre'!$B$1</c:f>
              <c:strCache>
                <c:ptCount val="1"/>
                <c:pt idx="0">
                  <c:v>Schweinemist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dLbls>
            <c:delete val="1"/>
          </c:dLbls>
          <c:cat>
            <c:strRef>
              <c:f>'[31]BGA 15_Diagramme'!$A$3:$A$14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'[30]Diagramme für Broschüre'!$B$3:$B$14</c:f>
              <c:numCache>
                <c:formatCode>General</c:formatCode>
                <c:ptCount val="12"/>
                <c:pt idx="0">
                  <c:v>1.1092023460088</c:v>
                </c:pt>
                <c:pt idx="1">
                  <c:v>0</c:v>
                </c:pt>
                <c:pt idx="2">
                  <c:v>0</c:v>
                </c:pt>
                <c:pt idx="3">
                  <c:v>0.241244604963899</c:v>
                </c:pt>
                <c:pt idx="4">
                  <c:v>13.547379569479</c:v>
                </c:pt>
                <c:pt idx="5">
                  <c:v>16.3034053714261</c:v>
                </c:pt>
                <c:pt idx="6">
                  <c:v>15.7642405891621</c:v>
                </c:pt>
                <c:pt idx="7">
                  <c:v>10.2675734079064</c:v>
                </c:pt>
                <c:pt idx="8">
                  <c:v>15.3926926473045</c:v>
                </c:pt>
                <c:pt idx="9">
                  <c:v>11.2998621425713</c:v>
                </c:pt>
                <c:pt idx="10">
                  <c:v>10.1438745052745</c:v>
                </c:pt>
                <c:pt idx="11">
                  <c:v>11.1337173177351</c:v>
                </c:pt>
              </c:numCache>
            </c:numRef>
          </c:val>
        </c:ser>
        <c:ser>
          <c:idx val="6"/>
          <c:order val="1"/>
          <c:tx>
            <c:strRef>
              <c:f>'[30]Diagramme für Broschüre'!$C$1</c:f>
              <c:strCache>
                <c:ptCount val="1"/>
                <c:pt idx="0">
                  <c:v>Mischung Rinder-/Schweinegülle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'[31]BGA 15_Diagramme'!$A$3:$A$14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'[30]Diagramme für Broschüre'!$C$3:$C$14</c:f>
              <c:numCache>
                <c:formatCode>General</c:formatCode>
                <c:ptCount val="12"/>
                <c:pt idx="0">
                  <c:v>44.5147652249481</c:v>
                </c:pt>
                <c:pt idx="1">
                  <c:v>50.4153527146234</c:v>
                </c:pt>
                <c:pt idx="2">
                  <c:v>59.0013820514475</c:v>
                </c:pt>
                <c:pt idx="3">
                  <c:v>61.280783897582</c:v>
                </c:pt>
                <c:pt idx="4">
                  <c:v>42.8699599970318</c:v>
                </c:pt>
                <c:pt idx="5">
                  <c:v>44.7257566889934</c:v>
                </c:pt>
                <c:pt idx="6">
                  <c:v>44.1770255824832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'[30]Diagramme für Broschüre'!$F$1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rgbClr val="6633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'[31]BGA 15_Diagramme'!$A$3:$A$14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'[30]Diagramme für Broschüre'!$F$3:$F$14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62.6244650650396</c:v>
                </c:pt>
                <c:pt idx="8">
                  <c:v>49.1611579123213</c:v>
                </c:pt>
                <c:pt idx="9">
                  <c:v>47.0642297030877</c:v>
                </c:pt>
                <c:pt idx="10">
                  <c:v>47.2362849995763</c:v>
                </c:pt>
                <c:pt idx="11">
                  <c:v>45.9220683137729</c:v>
                </c:pt>
              </c:numCache>
            </c:numRef>
          </c:val>
        </c:ser>
        <c:ser>
          <c:idx val="4"/>
          <c:order val="3"/>
          <c:tx>
            <c:strRef>
              <c:f>'[31]BGA 15_Diagramme'!$D$1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'[31]BGA 15_Diagramme'!$A$3:$A$14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'[30]Diagramme für Broschüre'!$D$3:$D$14</c:f>
              <c:numCache>
                <c:formatCode>General</c:formatCode>
                <c:ptCount val="12"/>
                <c:pt idx="0">
                  <c:v>50.759666102593</c:v>
                </c:pt>
                <c:pt idx="1">
                  <c:v>42.8690284438094</c:v>
                </c:pt>
                <c:pt idx="2">
                  <c:v>36.453768526283</c:v>
                </c:pt>
                <c:pt idx="3">
                  <c:v>33.5553404263901</c:v>
                </c:pt>
                <c:pt idx="4">
                  <c:v>37.5324644661661</c:v>
                </c:pt>
                <c:pt idx="5">
                  <c:v>32.2529425790649</c:v>
                </c:pt>
                <c:pt idx="6">
                  <c:v>33.8129873024826</c:v>
                </c:pt>
                <c:pt idx="7">
                  <c:v>25.418414473963</c:v>
                </c:pt>
                <c:pt idx="8">
                  <c:v>35.4461494403742</c:v>
                </c:pt>
                <c:pt idx="9">
                  <c:v>41.635908154341</c:v>
                </c:pt>
                <c:pt idx="10">
                  <c:v>42.6198404951493</c:v>
                </c:pt>
                <c:pt idx="11">
                  <c:v>42.7592544961144</c:v>
                </c:pt>
              </c:numCache>
            </c:numRef>
          </c:val>
        </c:ser>
        <c:ser>
          <c:idx val="1"/>
          <c:order val="4"/>
          <c:tx>
            <c:strRef>
              <c:f>'[30]Diagramme für Broschüre'!$E$1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delete val="1"/>
          </c:dLbls>
          <c:cat>
            <c:strRef>
              <c:f>'[31]BGA 15_Diagramme'!$A$3:$A$14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'[30]Diagramme für Broschüre'!$E$3:$E$14</c:f>
              <c:numCache>
                <c:formatCode>General</c:formatCode>
                <c:ptCount val="12"/>
                <c:pt idx="0">
                  <c:v>3.47611181493005</c:v>
                </c:pt>
                <c:pt idx="1">
                  <c:v>5.78995990647906</c:v>
                </c:pt>
                <c:pt idx="2">
                  <c:v>4.32937566134662</c:v>
                </c:pt>
                <c:pt idx="3">
                  <c:v>4.44091756726148</c:v>
                </c:pt>
                <c:pt idx="4">
                  <c:v>5.37223672582789</c:v>
                </c:pt>
                <c:pt idx="5">
                  <c:v>5.48053092869168</c:v>
                </c:pt>
                <c:pt idx="6">
                  <c:v>4.5181816493094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5"/>
          <c:tx>
            <c:strRef>
              <c:f>'[30]Diagramme für Broschüre'!$G$1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'[31]BGA 15_Diagramme'!$A$3:$A$14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'[30]Diagramme für Broschüre'!$G$3:$G$14</c:f>
              <c:numCache>
                <c:formatCode>General</c:formatCode>
                <c:ptCount val="12"/>
                <c:pt idx="0">
                  <c:v>0.140254511520121</c:v>
                </c:pt>
                <c:pt idx="1">
                  <c:v>0.925658935088167</c:v>
                </c:pt>
                <c:pt idx="2">
                  <c:v>0.215473760922941</c:v>
                </c:pt>
                <c:pt idx="3">
                  <c:v>0.481713503802511</c:v>
                </c:pt>
                <c:pt idx="4">
                  <c:v>0.677959241495153</c:v>
                </c:pt>
                <c:pt idx="5">
                  <c:v>1.23736443182393</c:v>
                </c:pt>
                <c:pt idx="6">
                  <c:v>1.7275648765627</c:v>
                </c:pt>
                <c:pt idx="7">
                  <c:v>1.68954705309097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0.184959872377688</c:v>
                </c:pt>
              </c:numCache>
            </c:numRef>
          </c:val>
        </c:ser>
        <c:ser>
          <c:idx val="9"/>
          <c:order val="6"/>
          <c:tx>
            <c:strRef>
              <c:f>'[30]Diagramme für Broschüre'!$I$1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'[31]BGA 15_Diagramme'!$A$3:$A$14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'[30]Diagramme für Broschüre'!$I$3:$I$14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798464"/>
        <c:axId val="254825216"/>
      </c:barChart>
      <c:lineChart>
        <c:grouping val="stacked"/>
        <c:varyColors val="0"/>
        <c:ser>
          <c:idx val="7"/>
          <c:order val="7"/>
          <c:tx>
            <c:strRef>
              <c:f>'[30]Diagramme für Broschüre'!$J$1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'[30]Diagramme für Broschüre'!$J$3:$J$14</c:f>
              <c:numCache>
                <c:formatCode>General</c:formatCode>
                <c:ptCount val="12"/>
                <c:pt idx="0">
                  <c:v>18.1812333333333</c:v>
                </c:pt>
                <c:pt idx="1">
                  <c:v>17.5637741935484</c:v>
                </c:pt>
                <c:pt idx="2">
                  <c:v>23.5040967741935</c:v>
                </c:pt>
                <c:pt idx="3">
                  <c:v>23.0205</c:v>
                </c:pt>
                <c:pt idx="4">
                  <c:v>19.1276129032258</c:v>
                </c:pt>
                <c:pt idx="5">
                  <c:v>18.4532</c:v>
                </c:pt>
                <c:pt idx="6">
                  <c:v>19.1020322580645</c:v>
                </c:pt>
                <c:pt idx="7">
                  <c:v>15.734</c:v>
                </c:pt>
                <c:pt idx="8">
                  <c:v>2.70341935483871</c:v>
                </c:pt>
                <c:pt idx="9">
                  <c:v>21.7616129032258</c:v>
                </c:pt>
                <c:pt idx="10">
                  <c:v>21.2407333333333</c:v>
                </c:pt>
                <c:pt idx="11">
                  <c:v>22.323935483871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833408"/>
        <c:axId val="254827136"/>
      </c:lineChart>
      <c:dateAx>
        <c:axId val="25479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825216"/>
        <c:crosses val="autoZero"/>
        <c:auto val="0"/>
        <c:lblAlgn val="ctr"/>
        <c:lblOffset val="100"/>
        <c:baseTimeUnit val="days"/>
      </c:dateAx>
      <c:valAx>
        <c:axId val="25482521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798464"/>
        <c:crosses val="autoZero"/>
        <c:crossBetween val="between"/>
      </c:valAx>
      <c:dateAx>
        <c:axId val="25483340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827136"/>
        <c:crosses val="autoZero"/>
        <c:auto val="0"/>
        <c:lblAlgn val="ctr"/>
        <c:lblOffset val="100"/>
        <c:baseTimeUnit val="days"/>
      </c:dateAx>
      <c:valAx>
        <c:axId val="254827136"/>
        <c:scaling>
          <c:orientation val="minMax"/>
          <c:max val="50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4833408"/>
        <c:crosses val="max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b"/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0138915032679739"/>
          <c:y val="0.868497784131616"/>
          <c:w val="0.986108496732026"/>
          <c:h val="0.13150221586838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206535947712"/>
          <c:y val="0.0456535947712418"/>
          <c:w val="0.873966666666667"/>
          <c:h val="0.8336823529411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'[31]BGA 15_Diagramme'!$F$40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'[31]BGA 15_Diagramme'!$A$42:$A$53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'[31]BGA 15_Diagramme'!$F$42:$F$53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'[31]BGA 15_Diagramme'!$G$40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'[31]BGA 15_Diagramme'!$A$42:$A$53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'[31]BGA 15_Diagramme'!$G$42:$G$53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864384"/>
        <c:axId val="254866176"/>
      </c:barChart>
      <c:catAx>
        <c:axId val="2548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866176"/>
        <c:crosses val="autoZero"/>
        <c:auto val="1"/>
        <c:lblAlgn val="ctr"/>
        <c:lblOffset val="100"/>
        <c:noMultiLvlLbl val="1"/>
      </c:catAx>
      <c:valAx>
        <c:axId val="254866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86438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36248039215686"/>
          <c:y val="0.0583941176470588"/>
          <c:w val="0.835412418300654"/>
          <c:h val="0.0700372549019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'[24]BGA 12_Diagramme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'[31]BGA 15_Diagramme'!$D$23:$D$34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'[31]BGA 15_Diagramme'!$E$23:$E$34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907520"/>
        <c:axId val="254909056"/>
      </c:barChart>
      <c:catAx>
        <c:axId val="25490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909056"/>
        <c:crosses val="autoZero"/>
        <c:auto val="1"/>
        <c:lblAlgn val="ctr"/>
        <c:lblOffset val="100"/>
        <c:noMultiLvlLbl val="1"/>
      </c:catAx>
      <c:valAx>
        <c:axId val="254909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4907520"/>
        <c:crosses val="autoZero"/>
        <c:crossBetween val="between"/>
        <c:majorUnit val="0.05"/>
        <c:minorUnit val="0.0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65295401664708"/>
          <c:h val="0.7546328023244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'[25]BGA 16_Diagramme'!$B$1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[33]BGA16_Diagramme!$A$3:$A$14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'[25]BGA 16_Diagramme'!$B$3:$B$14</c:f>
              <c:numCache>
                <c:formatCode>General</c:formatCode>
                <c:ptCount val="12"/>
                <c:pt idx="0">
                  <c:v>55.6930693069307</c:v>
                </c:pt>
                <c:pt idx="1">
                  <c:v>52.4443069306931</c:v>
                </c:pt>
                <c:pt idx="2">
                  <c:v>58.1136053410458</c:v>
                </c:pt>
                <c:pt idx="3">
                  <c:v>56.110490908347</c:v>
                </c:pt>
                <c:pt idx="4">
                  <c:v>57.3245001236739</c:v>
                </c:pt>
                <c:pt idx="5">
                  <c:v>56.6860744413059</c:v>
                </c:pt>
                <c:pt idx="6">
                  <c:v>52.9509025566745</c:v>
                </c:pt>
                <c:pt idx="7">
                  <c:v>56.735612047857</c:v>
                </c:pt>
                <c:pt idx="8">
                  <c:v>60.0097515846325</c:v>
                </c:pt>
                <c:pt idx="9">
                  <c:v>52.8274280569214</c:v>
                </c:pt>
                <c:pt idx="10">
                  <c:v>53.1972122269907</c:v>
                </c:pt>
                <c:pt idx="11">
                  <c:v>51.6157853749238</c:v>
                </c:pt>
              </c:numCache>
            </c:numRef>
          </c:val>
        </c:ser>
        <c:ser>
          <c:idx val="1"/>
          <c:order val="1"/>
          <c:tx>
            <c:strRef>
              <c:f>'[25]BGA 16_Diagramme'!$C$1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dLbls>
            <c:delete val="1"/>
          </c:dLbls>
          <c:cat>
            <c:strRef>
              <c:f>[33]BGA16_Diagramme!$A$3:$A$14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'[25]BGA 16_Diagramme'!$C$3:$C$14</c:f>
              <c:numCache>
                <c:formatCode>General</c:formatCode>
                <c:ptCount val="12"/>
                <c:pt idx="0">
                  <c:v>17.9042904290429</c:v>
                </c:pt>
                <c:pt idx="1">
                  <c:v>25.0618811881188</c:v>
                </c:pt>
                <c:pt idx="2">
                  <c:v>23.5833119349128</c:v>
                </c:pt>
                <c:pt idx="3">
                  <c:v>23.0871290716636</c:v>
                </c:pt>
                <c:pt idx="4">
                  <c:v>19.9215172441455</c:v>
                </c:pt>
                <c:pt idx="5">
                  <c:v>23.379002453194</c:v>
                </c:pt>
                <c:pt idx="6">
                  <c:v>19.9505336084503</c:v>
                </c:pt>
                <c:pt idx="7">
                  <c:v>17.4851857012986</c:v>
                </c:pt>
                <c:pt idx="8">
                  <c:v>16.5026816857739</c:v>
                </c:pt>
                <c:pt idx="9">
                  <c:v>20.5752632578555</c:v>
                </c:pt>
                <c:pt idx="10">
                  <c:v>17.4235813080537</c:v>
                </c:pt>
                <c:pt idx="11">
                  <c:v>18.2013558953679</c:v>
                </c:pt>
              </c:numCache>
            </c:numRef>
          </c:val>
        </c:ser>
        <c:ser>
          <c:idx val="0"/>
          <c:order val="2"/>
          <c:tx>
            <c:strRef>
              <c:f>'[25]BGA 16_Diagramme'!$D$1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cat>
            <c:strRef>
              <c:f>[33]BGA16_Diagramme!$A$3:$A$14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'[25]BGA 16_Diagramme'!$D$3:$D$14</c:f>
              <c:numCache>
                <c:formatCode>General</c:formatCode>
                <c:ptCount val="12"/>
                <c:pt idx="0">
                  <c:v>18.8943894389439</c:v>
                </c:pt>
                <c:pt idx="1">
                  <c:v>18.4715346534653</c:v>
                </c:pt>
                <c:pt idx="2">
                  <c:v>13.8188747584231</c:v>
                </c:pt>
                <c:pt idx="3">
                  <c:v>15.4303849997954</c:v>
                </c:pt>
                <c:pt idx="4">
                  <c:v>16.6124061582892</c:v>
                </c:pt>
                <c:pt idx="5">
                  <c:v>13.931323379643</c:v>
                </c:pt>
                <c:pt idx="6">
                  <c:v>21.692789111928</c:v>
                </c:pt>
                <c:pt idx="7">
                  <c:v>20.5708067074101</c:v>
                </c:pt>
                <c:pt idx="8">
                  <c:v>17.5966094490355</c:v>
                </c:pt>
                <c:pt idx="9">
                  <c:v>22.0172902554146</c:v>
                </c:pt>
                <c:pt idx="10">
                  <c:v>26.2399732220774</c:v>
                </c:pt>
                <c:pt idx="11">
                  <c:v>26.2304780648005</c:v>
                </c:pt>
              </c:numCache>
            </c:numRef>
          </c:val>
        </c:ser>
        <c:ser>
          <c:idx val="3"/>
          <c:order val="3"/>
          <c:tx>
            <c:strRef>
              <c:f>'[25]BGA 16_Diagramme'!$E$1</c:f>
              <c:strCache>
                <c:ptCount val="1"/>
                <c:pt idx="0">
                  <c:v>Milchzuckermelasse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[33]BGA16_Diagramme!$A$3:$A$14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'[25]BGA 16_Diagramme'!$E$3:$E$14</c:f>
              <c:numCache>
                <c:formatCode>General</c:formatCode>
                <c:ptCount val="12"/>
                <c:pt idx="0">
                  <c:v>7.50825082508251</c:v>
                </c:pt>
                <c:pt idx="1">
                  <c:v>4.02227722772277</c:v>
                </c:pt>
                <c:pt idx="2">
                  <c:v>4.48420796561837</c:v>
                </c:pt>
                <c:pt idx="3">
                  <c:v>5.37199502019393</c:v>
                </c:pt>
                <c:pt idx="4">
                  <c:v>6.14157647389145</c:v>
                </c:pt>
                <c:pt idx="5">
                  <c:v>6.00359972585718</c:v>
                </c:pt>
                <c:pt idx="6">
                  <c:v>5.40577472294721</c:v>
                </c:pt>
                <c:pt idx="7">
                  <c:v>5.20839554343426</c:v>
                </c:pt>
                <c:pt idx="8">
                  <c:v>5.89095728055809</c:v>
                </c:pt>
                <c:pt idx="9">
                  <c:v>4.58001842980846</c:v>
                </c:pt>
                <c:pt idx="10">
                  <c:v>3.13923324287815</c:v>
                </c:pt>
                <c:pt idx="11">
                  <c:v>3.95238066490791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259776"/>
        <c:axId val="255261696"/>
      </c:barChart>
      <c:lineChart>
        <c:grouping val="stacked"/>
        <c:varyColors val="0"/>
        <c:ser>
          <c:idx val="7"/>
          <c:order val="4"/>
          <c:tx>
            <c:strRef>
              <c:f>'[25]BGA 16_Diagramme'!$F$1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numRef>
              <c:f>'[25]BGA 16_Diagramme'!$A$3:$A$14</c:f>
              <c:numCache>
                <c:formatCode>General</c:formatCode>
                <c:ptCount val="12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</c:numCache>
            </c:numRef>
          </c:cat>
          <c:val>
            <c:numRef>
              <c:f>'[25]BGA 16_Diagramme'!$F$3:$F$14</c:f>
              <c:numCache>
                <c:formatCode>General</c:formatCode>
                <c:ptCount val="12"/>
                <c:pt idx="0">
                  <c:v>78.1935483870968</c:v>
                </c:pt>
                <c:pt idx="1">
                  <c:v>104.258064516129</c:v>
                </c:pt>
                <c:pt idx="2">
                  <c:v>105.704285714286</c:v>
                </c:pt>
                <c:pt idx="3">
                  <c:v>110.381290322581</c:v>
                </c:pt>
                <c:pt idx="4">
                  <c:v>99.7246666666667</c:v>
                </c:pt>
                <c:pt idx="5">
                  <c:v>100.724516129032</c:v>
                </c:pt>
                <c:pt idx="6">
                  <c:v>97.5746666666667</c:v>
                </c:pt>
                <c:pt idx="7">
                  <c:v>97.2251612903226</c:v>
                </c:pt>
                <c:pt idx="8">
                  <c:v>103.209032258065</c:v>
                </c:pt>
                <c:pt idx="9">
                  <c:v>94.774</c:v>
                </c:pt>
                <c:pt idx="10">
                  <c:v>107.936774193548</c:v>
                </c:pt>
                <c:pt idx="11">
                  <c:v>110.431333333333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077376"/>
        <c:axId val="255075456"/>
      </c:lineChart>
      <c:dateAx>
        <c:axId val="25525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5261696"/>
        <c:crosses val="autoZero"/>
        <c:auto val="0"/>
        <c:lblAlgn val="ctr"/>
        <c:lblOffset val="100"/>
        <c:baseTimeUnit val="days"/>
      </c:dateAx>
      <c:valAx>
        <c:axId val="25526169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5259776"/>
        <c:crosses val="autoZero"/>
        <c:crossBetween val="between"/>
      </c:valAx>
      <c:dateAx>
        <c:axId val="255077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5075456"/>
        <c:crosses val="autoZero"/>
        <c:auto val="0"/>
        <c:lblOffset val="100"/>
        <c:baseTimeUnit val="days"/>
      </c:dateAx>
      <c:valAx>
        <c:axId val="255075456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2972222222222"/>
              <c:y val="0.075370453862338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507737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520751633987"/>
          <c:y val="0.0511529411764706"/>
          <c:w val="0.853652450980392"/>
          <c:h val="0.8066140522875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[33]BGA16_Diagramme!$F$39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[33]BGA16_Diagramme!$A$41:$A$52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[33]BGA16_Diagramme!$F$41:$F$52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[33]BGA16_Diagramme!$G$39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[33]BGA16_Diagramme!$A$41:$A$52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[33]BGA16_Diagramme!$G$41:$G$52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120512"/>
        <c:axId val="255122048"/>
      </c:barChart>
      <c:catAx>
        <c:axId val="25512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122048"/>
        <c:crosses val="autoZero"/>
        <c:auto val="1"/>
        <c:lblAlgn val="ctr"/>
        <c:lblOffset val="100"/>
        <c:noMultiLvlLbl val="1"/>
      </c:catAx>
      <c:valAx>
        <c:axId val="255122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12051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30519117647059"/>
          <c:y val="0.0682369281045751"/>
          <c:w val="0.859321241830065"/>
          <c:h val="0.08509640522875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'[24]BGA 12_Diagramme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[33]BGA16_Diagramme!$D$23:$D$34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[33]BGA16_Diagramme!$E$23:$E$34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724544"/>
        <c:axId val="255750912"/>
      </c:barChart>
      <c:catAx>
        <c:axId val="25572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750912"/>
        <c:crosses val="autoZero"/>
        <c:auto val="1"/>
        <c:lblAlgn val="ctr"/>
        <c:lblOffset val="100"/>
        <c:noMultiLvlLbl val="1"/>
      </c:catAx>
      <c:valAx>
        <c:axId val="255750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724544"/>
        <c:crosses val="autoZero"/>
        <c:crossBetween val="between"/>
        <c:majorUnit val="0.05"/>
        <c:minorUnit val="0.0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6780776058863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'[34]Diagramm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'[34]Diagramm Kapitel 5'!$C$4:$C$15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'[34]Diagramm Kapitel 5'!$D$4:$D$15</c:f>
              <c:numCache>
                <c:formatCode>General</c:formatCode>
                <c:ptCount val="12"/>
                <c:pt idx="0">
                  <c:v>3.08483290488432</c:v>
                </c:pt>
                <c:pt idx="1">
                  <c:v>4.53276832030394</c:v>
                </c:pt>
                <c:pt idx="2">
                  <c:v>5.36880067389702</c:v>
                </c:pt>
                <c:pt idx="3">
                  <c:v>5.57899033882161</c:v>
                </c:pt>
                <c:pt idx="4">
                  <c:v>6.03085553997195</c:v>
                </c:pt>
                <c:pt idx="5">
                  <c:v>6.49681528662421</c:v>
                </c:pt>
                <c:pt idx="6">
                  <c:v>5.97525664648592</c:v>
                </c:pt>
                <c:pt idx="7">
                  <c:v>6.21055289068417</c:v>
                </c:pt>
                <c:pt idx="8">
                  <c:v>6.12764816304639</c:v>
                </c:pt>
                <c:pt idx="9">
                  <c:v>5.34835534835535</c:v>
                </c:pt>
                <c:pt idx="10">
                  <c:v>5.59275793650794</c:v>
                </c:pt>
                <c:pt idx="11">
                  <c:v>0</c:v>
                </c:pt>
              </c:numCache>
            </c:numRef>
          </c:val>
        </c:ser>
        <c:ser>
          <c:idx val="6"/>
          <c:order val="1"/>
          <c:tx>
            <c:strRef>
              <c:f>'[34]Diagramm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'[34]Diagramm Kapitel 5'!$C$4:$C$15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'[34]Diagramm Kapitel 5'!$E$4:$E$15</c:f>
              <c:numCache>
                <c:formatCode>General</c:formatCode>
                <c:ptCount val="12"/>
                <c:pt idx="0">
                  <c:v>35.2552331986779</c:v>
                </c:pt>
                <c:pt idx="1">
                  <c:v>32.4395411704537</c:v>
                </c:pt>
                <c:pt idx="2">
                  <c:v>28.9565125829209</c:v>
                </c:pt>
                <c:pt idx="3">
                  <c:v>28.4392434344809</c:v>
                </c:pt>
                <c:pt idx="4">
                  <c:v>27.9102384291725</c:v>
                </c:pt>
                <c:pt idx="5">
                  <c:v>27.2611464968153</c:v>
                </c:pt>
                <c:pt idx="6">
                  <c:v>27.375625164517</c:v>
                </c:pt>
                <c:pt idx="7">
                  <c:v>27.2658419591012</c:v>
                </c:pt>
                <c:pt idx="8">
                  <c:v>27.8895146151783</c:v>
                </c:pt>
                <c:pt idx="9">
                  <c:v>28.4900284900285</c:v>
                </c:pt>
                <c:pt idx="10">
                  <c:v>27.9017857142857</c:v>
                </c:pt>
                <c:pt idx="11">
                  <c:v>34.9373183406242</c:v>
                </c:pt>
              </c:numCache>
            </c:numRef>
          </c:val>
        </c:ser>
        <c:ser>
          <c:idx val="4"/>
          <c:order val="2"/>
          <c:tx>
            <c:strRef>
              <c:f>'[34]Diagramm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'[34]Diagramm Kapitel 5'!$C$4:$C$15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'[34]Diagramm Kapitel 5'!$F$4:$F$15</c:f>
              <c:numCache>
                <c:formatCode>General</c:formatCode>
                <c:ptCount val="12"/>
                <c:pt idx="0">
                  <c:v>31.4359162688212</c:v>
                </c:pt>
                <c:pt idx="1">
                  <c:v>26.0100825600935</c:v>
                </c:pt>
                <c:pt idx="2">
                  <c:v>25.3237864588818</c:v>
                </c:pt>
                <c:pt idx="3">
                  <c:v>33.0249013471221</c:v>
                </c:pt>
                <c:pt idx="4">
                  <c:v>30.3927068723703</c:v>
                </c:pt>
                <c:pt idx="5">
                  <c:v>32.4968152866242</c:v>
                </c:pt>
                <c:pt idx="6">
                  <c:v>31.3371939984206</c:v>
                </c:pt>
                <c:pt idx="7">
                  <c:v>31.4188336278717</c:v>
                </c:pt>
                <c:pt idx="8">
                  <c:v>26.9509251810137</c:v>
                </c:pt>
                <c:pt idx="9">
                  <c:v>27.4669774669775</c:v>
                </c:pt>
                <c:pt idx="10">
                  <c:v>29.9479166666667</c:v>
                </c:pt>
                <c:pt idx="11">
                  <c:v>27.2892751240422</c:v>
                </c:pt>
              </c:numCache>
            </c:numRef>
          </c:val>
        </c:ser>
        <c:ser>
          <c:idx val="3"/>
          <c:order val="3"/>
          <c:tx>
            <c:strRef>
              <c:f>'[34]Diagramm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'[34]Diagramm Kapitel 5'!$C$4:$C$15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'[34]Diagramm Kapitel 5'!$I$4:$I$15</c:f>
              <c:numCache>
                <c:formatCode>General</c:formatCode>
                <c:ptCount val="12"/>
                <c:pt idx="0">
                  <c:v>7.78993756885788</c:v>
                </c:pt>
                <c:pt idx="1">
                  <c:v>6.18543143128516</c:v>
                </c:pt>
                <c:pt idx="2">
                  <c:v>5.13451616299884</c:v>
                </c:pt>
                <c:pt idx="3">
                  <c:v>7.66090624574772</c:v>
                </c:pt>
                <c:pt idx="4">
                  <c:v>7.12482468443198</c:v>
                </c:pt>
                <c:pt idx="5">
                  <c:v>6.50955414012739</c:v>
                </c:pt>
                <c:pt idx="6">
                  <c:v>6.97551987365096</c:v>
                </c:pt>
                <c:pt idx="7">
                  <c:v>7.90204493814693</c:v>
                </c:pt>
                <c:pt idx="8">
                  <c:v>8.46071332796997</c:v>
                </c:pt>
                <c:pt idx="9">
                  <c:v>7.00595700595701</c:v>
                </c:pt>
                <c:pt idx="10">
                  <c:v>7.72569444444444</c:v>
                </c:pt>
                <c:pt idx="11">
                  <c:v>6.44432048383782</c:v>
                </c:pt>
              </c:numCache>
            </c:numRef>
          </c:val>
        </c:ser>
        <c:ser>
          <c:idx val="2"/>
          <c:order val="4"/>
          <c:tx>
            <c:strRef>
              <c:f>'[34]Diagramm Kapitel 5'!$H$2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'[34]Diagramm Kapitel 5'!$C$4:$C$15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'[34]Diagramm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11.1638781325345</c:v>
                </c:pt>
                <c:pt idx="2">
                  <c:v>16.0971885858692</c:v>
                </c:pt>
                <c:pt idx="3">
                  <c:v>6.16410395972241</c:v>
                </c:pt>
                <c:pt idx="4">
                  <c:v>5.48387096774193</c:v>
                </c:pt>
                <c:pt idx="5">
                  <c:v>5.14649681528662</c:v>
                </c:pt>
                <c:pt idx="6">
                  <c:v>5.35667280863385</c:v>
                </c:pt>
                <c:pt idx="7">
                  <c:v>5.42792224185812</c:v>
                </c:pt>
                <c:pt idx="8">
                  <c:v>5.81925449182086</c:v>
                </c:pt>
                <c:pt idx="9">
                  <c:v>5.21885521885522</c:v>
                </c:pt>
                <c:pt idx="10">
                  <c:v>5.13392857142857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'[34]Diagramm Kapitel 5'!$AM$9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'[34]Diagramm Kapitel 5'!$C$4:$C$15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'[34]Diagramm Kapitel 5'!$J$4:$J$15</c:f>
              <c:numCache>
                <c:formatCode>General</c:formatCode>
                <c:ptCount val="12"/>
                <c:pt idx="0">
                  <c:v>2.79103929489534</c:v>
                </c:pt>
                <c:pt idx="1">
                  <c:v>0</c:v>
                </c:pt>
                <c:pt idx="2">
                  <c:v>0</c:v>
                </c:pt>
                <c:pt idx="3">
                  <c:v>5.83752891549871</c:v>
                </c:pt>
                <c:pt idx="4">
                  <c:v>5.56802244039271</c:v>
                </c:pt>
                <c:pt idx="5">
                  <c:v>5.35031847133758</c:v>
                </c:pt>
                <c:pt idx="6">
                  <c:v>5.22505922611214</c:v>
                </c:pt>
                <c:pt idx="7">
                  <c:v>5.56677606664984</c:v>
                </c:pt>
                <c:pt idx="8">
                  <c:v>5.8058460713328</c:v>
                </c:pt>
                <c:pt idx="9">
                  <c:v>5.72390572390573</c:v>
                </c:pt>
                <c:pt idx="10">
                  <c:v>4.86111111111111</c:v>
                </c:pt>
                <c:pt idx="11">
                  <c:v>12.1987023281759</c:v>
                </c:pt>
              </c:numCache>
            </c:numRef>
          </c:val>
        </c:ser>
        <c:ser>
          <c:idx val="1"/>
          <c:order val="6"/>
          <c:tx>
            <c:strRef>
              <c:f>'[34]Diagramm Kapitel 5'!$G$2</c:f>
              <c:strCache>
                <c:ptCount val="1"/>
                <c:pt idx="0">
                  <c:v>Hafer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'[34]Diagramm Kapitel 5'!$C$4:$C$15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'[34]Diagramm Kapitel 5'!$G$4:$G$15</c:f>
              <c:numCache>
                <c:formatCode>General</c:formatCode>
                <c:ptCount val="12"/>
                <c:pt idx="0">
                  <c:v>19.6430407638634</c:v>
                </c:pt>
                <c:pt idx="1">
                  <c:v>19.6682983853291</c:v>
                </c:pt>
                <c:pt idx="2">
                  <c:v>19.1191955354322</c:v>
                </c:pt>
                <c:pt idx="3">
                  <c:v>13.2943257586066</c:v>
                </c:pt>
                <c:pt idx="4">
                  <c:v>17.4894810659186</c:v>
                </c:pt>
                <c:pt idx="5">
                  <c:v>16.7388535031847</c:v>
                </c:pt>
                <c:pt idx="6">
                  <c:v>17.7546722821795</c:v>
                </c:pt>
                <c:pt idx="7">
                  <c:v>16.208028275688</c:v>
                </c:pt>
                <c:pt idx="8">
                  <c:v>18.946098149638</c:v>
                </c:pt>
                <c:pt idx="9">
                  <c:v>20.7459207459207</c:v>
                </c:pt>
                <c:pt idx="10">
                  <c:v>18.8368055555556</c:v>
                </c:pt>
                <c:pt idx="11">
                  <c:v>19.1303837233199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225408"/>
        <c:axId val="252235776"/>
      </c:barChart>
      <c:barChart>
        <c:barDir val="col"/>
        <c:grouping val="stacked"/>
        <c:varyColors val="0"/>
        <c:ser>
          <c:idx val="8"/>
          <c:order val="8"/>
          <c:tx>
            <c:strRef>
              <c:f>'[34]Diagramm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'[34]Diagramm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'[34]Diagramm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'[34]Diagramm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'[34]Diagramm Kapitel 5'!$R$2</c:f>
              <c:strCache>
                <c:ptCount val="1"/>
                <c:pt idx="0">
                  <c:v>Roggen-Ganzpflanzensilage</c:v>
                </c:pt>
              </c:strCache>
            </c:strRef>
          </c:tx>
          <c:invertIfNegative val="0"/>
          <c:dLbls>
            <c:delete val="1"/>
          </c:dLbls>
          <c:val>
            <c:numRef>
              <c:f>'[34]Diagramm Kapitel 5'!$R$4:$R$15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'[34]Diagramm Kapitel 5'!$S$2</c:f>
              <c:strCache>
                <c:ptCount val="1"/>
                <c:pt idx="0">
                  <c:v>Roggen Getreide und Getreidekorn</c:v>
                </c:pt>
              </c:strCache>
            </c:strRef>
          </c:tx>
          <c:invertIfNegative val="0"/>
          <c:dLbls>
            <c:delete val="1"/>
          </c:dLbls>
          <c:val>
            <c:numRef>
              <c:f>'[34]Diagramm Kapitel 5'!$S$4:$S$15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'[34]Diagramm Kapitel 5'!$T$2</c:f>
              <c:strCache>
                <c:ptCount val="1"/>
                <c:pt idx="0">
                  <c:v>Gerste Getreide und Getreidekorn</c:v>
                </c:pt>
              </c:strCache>
            </c:strRef>
          </c:tx>
          <c:invertIfNegative val="0"/>
          <c:dLbls>
            <c:delete val="1"/>
          </c:dLbls>
          <c:val>
            <c:numRef>
              <c:f>'[34]Diagramm Kapitel 5'!$T$4:$T$15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3"/>
          <c:order val="13"/>
          <c:tx>
            <c:strRef>
              <c:f>'[34]Diagramm Kapitel 5'!$U$2</c:f>
              <c:strCache>
                <c:ptCount val="1"/>
                <c:pt idx="0">
                  <c:v>Name des Substrats</c:v>
                </c:pt>
              </c:strCache>
            </c:strRef>
          </c:tx>
          <c:invertIfNegative val="0"/>
          <c:dLbls>
            <c:delete val="1"/>
          </c:dLbls>
          <c:val>
            <c:numRef>
              <c:f>'[34]Diagramm Kapitel 5'!$U$4:$U$15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239872"/>
        <c:axId val="252237696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'[34]Diagramm Kapitel 5'!$Z$4:$Z$15</c:f>
              <c:numCache>
                <c:formatCode>General</c:formatCode>
                <c:ptCount val="12"/>
                <c:pt idx="0">
                  <c:v>21.9596774193548</c:v>
                </c:pt>
                <c:pt idx="1">
                  <c:v>22.8116666666667</c:v>
                </c:pt>
                <c:pt idx="2">
                  <c:v>24.5083870967742</c:v>
                </c:pt>
                <c:pt idx="3">
                  <c:v>23.7064516129032</c:v>
                </c:pt>
                <c:pt idx="4">
                  <c:v>25.4642857142857</c:v>
                </c:pt>
                <c:pt idx="5">
                  <c:v>25.3225806451613</c:v>
                </c:pt>
                <c:pt idx="6">
                  <c:v>25.3266666666667</c:v>
                </c:pt>
                <c:pt idx="7">
                  <c:v>25.5548387096774</c:v>
                </c:pt>
                <c:pt idx="8">
                  <c:v>24.86</c:v>
                </c:pt>
                <c:pt idx="9">
                  <c:v>24.9096774193548</c:v>
                </c:pt>
                <c:pt idx="10">
                  <c:v>26.0129032258065</c:v>
                </c:pt>
                <c:pt idx="11">
                  <c:v>22.7073333333333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239872"/>
        <c:axId val="252237696"/>
      </c:lineChart>
      <c:dateAx>
        <c:axId val="25222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235776"/>
        <c:crosses val="autoZero"/>
        <c:auto val="0"/>
        <c:lblAlgn val="ctr"/>
        <c:lblOffset val="100"/>
        <c:baseTimeUnit val="days"/>
      </c:dateAx>
      <c:valAx>
        <c:axId val="25223577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225408"/>
        <c:crosses val="autoZero"/>
        <c:crossBetween val="between"/>
      </c:valAx>
      <c:catAx>
        <c:axId val="25223987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237696"/>
        <c:crosses val="autoZero"/>
        <c:auto val="1"/>
        <c:lblAlgn val="ctr"/>
        <c:lblOffset val="100"/>
        <c:noMultiLvlLbl val="0"/>
      </c:catAx>
      <c:valAx>
        <c:axId val="25223769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223987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0138915032679739"/>
          <c:y val="0.817432035149136"/>
          <c:w val="0.986108482921111"/>
          <c:h val="0.18256796485086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'[34]Diagramm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[35]BGA17_Diagramme!$C$30:$C$41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'[34]Diagramm Kapitel 5'!$E$28:$E$39</c:f>
              <c:numCache>
                <c:formatCode>General</c:formatCode>
                <c:ptCount val="12"/>
                <c:pt idx="0">
                  <c:v>0.502</c:v>
                </c:pt>
                <c:pt idx="1">
                  <c:v>0.406</c:v>
                </c:pt>
                <c:pt idx="2">
                  <c:v>0.227</c:v>
                </c:pt>
                <c:pt idx="3">
                  <c:v>0.354</c:v>
                </c:pt>
                <c:pt idx="4">
                  <c:v>0.342</c:v>
                </c:pt>
                <c:pt idx="5">
                  <c:v>0.346</c:v>
                </c:pt>
                <c:pt idx="6">
                  <c:v>0.273</c:v>
                </c:pt>
                <c:pt idx="7">
                  <c:v>0.366</c:v>
                </c:pt>
                <c:pt idx="8">
                  <c:v>0.641</c:v>
                </c:pt>
                <c:pt idx="9">
                  <c:v>0.392</c:v>
                </c:pt>
                <c:pt idx="10">
                  <c:v>0.426</c:v>
                </c:pt>
                <c:pt idx="11">
                  <c:v>0.358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2275328"/>
        <c:axId val="252281216"/>
      </c:barChart>
      <c:catAx>
        <c:axId val="25227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2281216"/>
        <c:crosses val="autoZero"/>
        <c:auto val="1"/>
        <c:lblAlgn val="ctr"/>
        <c:lblOffset val="100"/>
        <c:noMultiLvlLbl val="0"/>
      </c:catAx>
      <c:valAx>
        <c:axId val="252281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2275328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86240918337693"/>
          <c:y val="0.0458700191212994"/>
          <c:w val="0.881076576576577"/>
          <c:h val="0.8414731459299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'[34]Diagramm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'[34]Diagramm Kapitel 5'!$C$49:$C$60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[35]BGA17_Diagramme!$H$48:$H$59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'[34]Diagramm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'[34]Diagramm Kapitel 5'!$C$49:$C$60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[35]BGA17_Diagramme!$I$48:$I$59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772160"/>
        <c:axId val="255773696"/>
      </c:barChart>
      <c:catAx>
        <c:axId val="25577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773696"/>
        <c:crosses val="autoZero"/>
        <c:auto val="1"/>
        <c:lblAlgn val="ctr"/>
        <c:lblOffset val="100"/>
        <c:noMultiLvlLbl val="0"/>
      </c:catAx>
      <c:valAx>
        <c:axId val="2557736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77216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88037925021796"/>
          <c:y val="0.0490941192846729"/>
          <c:w val="0.76417407730311"/>
          <c:h val="0.0763079042030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'[36]Diagramm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'[36]Diagramm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'[36]Diagramm Kapitel 5'!$D$4:$D$15</c:f>
              <c:numCache>
                <c:formatCode>General</c:formatCode>
                <c:ptCount val="12"/>
                <c:pt idx="0">
                  <c:v>12.1080196399345</c:v>
                </c:pt>
                <c:pt idx="1">
                  <c:v>12.0301797945205</c:v>
                </c:pt>
                <c:pt idx="2">
                  <c:v>11.9407340891234</c:v>
                </c:pt>
                <c:pt idx="3">
                  <c:v>12.0189518468381</c:v>
                </c:pt>
                <c:pt idx="4">
                  <c:v>12.2693651119786</c:v>
                </c:pt>
                <c:pt idx="5">
                  <c:v>12.2016342502014</c:v>
                </c:pt>
                <c:pt idx="6">
                  <c:v>12.2886386898669</c:v>
                </c:pt>
                <c:pt idx="7">
                  <c:v>12.228992944195</c:v>
                </c:pt>
                <c:pt idx="8">
                  <c:v>12.2986508585446</c:v>
                </c:pt>
                <c:pt idx="9">
                  <c:v>12.3514644351464</c:v>
                </c:pt>
                <c:pt idx="10">
                  <c:v>12.3976374011413</c:v>
                </c:pt>
                <c:pt idx="11">
                  <c:v>9.92120901190922</c:v>
                </c:pt>
              </c:numCache>
            </c:numRef>
          </c:val>
        </c:ser>
        <c:ser>
          <c:idx val="6"/>
          <c:order val="1"/>
          <c:tx>
            <c:strRef>
              <c:f>'[36]Diagramm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'[36]Diagramm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'[36]Diagramm Kapitel 5'!$E$4:$E$15</c:f>
              <c:numCache>
                <c:formatCode>General</c:formatCode>
                <c:ptCount val="12"/>
                <c:pt idx="0">
                  <c:v>32.6786688488816</c:v>
                </c:pt>
                <c:pt idx="1">
                  <c:v>33.1228595890411</c:v>
                </c:pt>
                <c:pt idx="2">
                  <c:v>33.6176899764283</c:v>
                </c:pt>
                <c:pt idx="3">
                  <c:v>33.2516813855046</c:v>
                </c:pt>
                <c:pt idx="4">
                  <c:v>31.7957674131909</c:v>
                </c:pt>
                <c:pt idx="5">
                  <c:v>32.1671078374957</c:v>
                </c:pt>
                <c:pt idx="6">
                  <c:v>31.6786079836233</c:v>
                </c:pt>
                <c:pt idx="7">
                  <c:v>32.0183878554629</c:v>
                </c:pt>
                <c:pt idx="8">
                  <c:v>31.6332788225675</c:v>
                </c:pt>
                <c:pt idx="9">
                  <c:v>31.3284518828452</c:v>
                </c:pt>
                <c:pt idx="10">
                  <c:v>31.0841926118731</c:v>
                </c:pt>
                <c:pt idx="11">
                  <c:v>48.5073356707628</c:v>
                </c:pt>
              </c:numCache>
            </c:numRef>
          </c:val>
        </c:ser>
        <c:ser>
          <c:idx val="4"/>
          <c:order val="2"/>
          <c:tx>
            <c:strRef>
              <c:f>'[36]Diagramm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'[36]Diagramm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'[36]Diagramm Kapitel 5'!$F$4:$F$15</c:f>
              <c:numCache>
                <c:formatCode>General</c:formatCode>
                <c:ptCount val="12"/>
                <c:pt idx="0">
                  <c:v>38.342062193126</c:v>
                </c:pt>
                <c:pt idx="1">
                  <c:v>41.4372859589041</c:v>
                </c:pt>
                <c:pt idx="2">
                  <c:v>41.1291951958694</c:v>
                </c:pt>
                <c:pt idx="3">
                  <c:v>41.3320011173425</c:v>
                </c:pt>
                <c:pt idx="4">
                  <c:v>42.2611464968153</c:v>
                </c:pt>
                <c:pt idx="5">
                  <c:v>42.0278513062493</c:v>
                </c:pt>
                <c:pt idx="6">
                  <c:v>42.3275332650972</c:v>
                </c:pt>
                <c:pt idx="7">
                  <c:v>42.1220868077828</c:v>
                </c:pt>
                <c:pt idx="8">
                  <c:v>45.778311529027</c:v>
                </c:pt>
                <c:pt idx="9">
                  <c:v>48.0334728033473</c:v>
                </c:pt>
                <c:pt idx="10">
                  <c:v>48.2130343377716</c:v>
                </c:pt>
                <c:pt idx="11">
                  <c:v>36.0103141913742</c:v>
                </c:pt>
              </c:numCache>
            </c:numRef>
          </c:val>
        </c:ser>
        <c:ser>
          <c:idx val="3"/>
          <c:order val="3"/>
          <c:tx>
            <c:strRef>
              <c:f>'[36]Diagramm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'[36]Diagramm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'[36]Diagramm Kapitel 5'!$I$4:$I$15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4"/>
          <c:tx>
            <c:strRef>
              <c:f>"Getreideschrot"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'[36]Diagramm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'[36]Diagramm Kapitel 5'!$Q$4:$Q$15</c:f>
              <c:numCache>
                <c:formatCode>General</c:formatCode>
                <c:ptCount val="12"/>
                <c:pt idx="0">
                  <c:v>10.0900163666121</c:v>
                </c:pt>
                <c:pt idx="1">
                  <c:v>6.68343321917808</c:v>
                </c:pt>
                <c:pt idx="2">
                  <c:v>6.63374116062409</c:v>
                </c:pt>
                <c:pt idx="3">
                  <c:v>6.66645179311975</c:v>
                </c:pt>
                <c:pt idx="4">
                  <c:v>6.81631395109924</c:v>
                </c:pt>
                <c:pt idx="5">
                  <c:v>6.77868569455634</c:v>
                </c:pt>
                <c:pt idx="6">
                  <c:v>6.82702149437052</c:v>
                </c:pt>
                <c:pt idx="7">
                  <c:v>6.79388496899722</c:v>
                </c:pt>
                <c:pt idx="8">
                  <c:v>3.41629190515127</c:v>
                </c:pt>
                <c:pt idx="9">
                  <c:v>1.37238493723849</c:v>
                </c:pt>
                <c:pt idx="10">
                  <c:v>1.37751526679347</c:v>
                </c:pt>
                <c:pt idx="11">
                  <c:v>0</c:v>
                </c:pt>
              </c:numCache>
            </c:numRef>
          </c:val>
        </c:ser>
        <c:ser>
          <c:idx val="8"/>
          <c:order val="6"/>
          <c:tx>
            <c:strRef>
              <c:f>'[36]Diagramm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'[36]Diagramm Kapitel 5'!$P$4:$P$15</c:f>
              <c:numCache>
                <c:formatCode>General</c:formatCode>
                <c:ptCount val="12"/>
                <c:pt idx="0">
                  <c:v>6.72667757774141</c:v>
                </c:pt>
                <c:pt idx="1">
                  <c:v>6.68343321917808</c:v>
                </c:pt>
                <c:pt idx="2">
                  <c:v>6.63374116062409</c:v>
                </c:pt>
                <c:pt idx="3">
                  <c:v>6.67719547046563</c:v>
                </c:pt>
                <c:pt idx="4">
                  <c:v>6.81631395109924</c:v>
                </c:pt>
                <c:pt idx="5">
                  <c:v>6.77868569455634</c:v>
                </c:pt>
                <c:pt idx="6">
                  <c:v>6.82702149437052</c:v>
                </c:pt>
                <c:pt idx="7">
                  <c:v>6.79388496899722</c:v>
                </c:pt>
                <c:pt idx="8">
                  <c:v>6.83258381030254</c:v>
                </c:pt>
                <c:pt idx="9">
                  <c:v>6.86192468619247</c:v>
                </c:pt>
                <c:pt idx="10">
                  <c:v>6.88757633396737</c:v>
                </c:pt>
                <c:pt idx="11">
                  <c:v>5.51178278439401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6106496"/>
        <c:axId val="256108416"/>
      </c:barChart>
      <c:lineChart>
        <c:grouping val="stacked"/>
        <c:varyColors val="0"/>
        <c:ser>
          <c:idx val="7"/>
          <c:order val="5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'[36]Diagramm Kapitel 5'!$Z$4:$Z$15</c:f>
              <c:numCache>
                <c:formatCode>General</c:formatCode>
                <c:ptCount val="12"/>
                <c:pt idx="0">
                  <c:v>61.1</c:v>
                </c:pt>
                <c:pt idx="1">
                  <c:v>60.2838709677419</c:v>
                </c:pt>
                <c:pt idx="2">
                  <c:v>59.3933333333333</c:v>
                </c:pt>
                <c:pt idx="3">
                  <c:v>60.0503225806452</c:v>
                </c:pt>
                <c:pt idx="4">
                  <c:v>62.8</c:v>
                </c:pt>
                <c:pt idx="5">
                  <c:v>62.0642857142857</c:v>
                </c:pt>
                <c:pt idx="6">
                  <c:v>63.0322580645161</c:v>
                </c:pt>
                <c:pt idx="7">
                  <c:v>62.36</c:v>
                </c:pt>
                <c:pt idx="8">
                  <c:v>63.1225806451613</c:v>
                </c:pt>
                <c:pt idx="9">
                  <c:v>63.7333333333333</c:v>
                </c:pt>
                <c:pt idx="10">
                  <c:v>64.4451612903226</c:v>
                </c:pt>
                <c:pt idx="11">
                  <c:v>25.2705376344086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112512"/>
        <c:axId val="256110592"/>
      </c:lineChart>
      <c:dateAx>
        <c:axId val="25610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108416"/>
        <c:crosses val="autoZero"/>
        <c:auto val="0"/>
        <c:lblAlgn val="ctr"/>
        <c:lblOffset val="100"/>
        <c:baseTimeUnit val="days"/>
      </c:dateAx>
      <c:valAx>
        <c:axId val="25610841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106496"/>
        <c:crosses val="autoZero"/>
        <c:crossBetween val="between"/>
      </c:valAx>
      <c:catAx>
        <c:axId val="25611251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110592"/>
        <c:crosses val="autoZero"/>
        <c:auto val="1"/>
        <c:lblAlgn val="ctr"/>
        <c:lblOffset val="100"/>
        <c:noMultiLvlLbl val="0"/>
      </c:catAx>
      <c:valAx>
        <c:axId val="25611059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11251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3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0138915032679739"/>
          <c:y val="0.874413999912719"/>
          <c:w val="0.986108482921111"/>
          <c:h val="0.12558600008728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'[36]Diagramm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[37]BGA18_Diagramme!$A$30:$A$41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'[36]Diagramm Kapitel 5'!$E$28:$E$39</c:f>
              <c:numCache>
                <c:formatCode>General</c:formatCode>
                <c:ptCount val="12"/>
                <c:pt idx="0">
                  <c:v>0.328</c:v>
                </c:pt>
                <c:pt idx="1">
                  <c:v>0.514</c:v>
                </c:pt>
                <c:pt idx="2">
                  <c:v>0.349</c:v>
                </c:pt>
                <c:pt idx="3">
                  <c:v>0.335</c:v>
                </c:pt>
                <c:pt idx="4">
                  <c:v>0.365</c:v>
                </c:pt>
                <c:pt idx="5">
                  <c:v>0.311</c:v>
                </c:pt>
                <c:pt idx="6">
                  <c:v>0.421</c:v>
                </c:pt>
                <c:pt idx="7">
                  <c:v>0.382</c:v>
                </c:pt>
                <c:pt idx="8">
                  <c:v>0.293</c:v>
                </c:pt>
                <c:pt idx="9">
                  <c:v>0.27</c:v>
                </c:pt>
                <c:pt idx="10">
                  <c:v>0.451</c:v>
                </c:pt>
                <c:pt idx="11">
                  <c:v>0.241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5875712"/>
        <c:axId val="255881600"/>
      </c:barChart>
      <c:catAx>
        <c:axId val="25587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881600"/>
        <c:crosses val="autoZero"/>
        <c:auto val="1"/>
        <c:lblAlgn val="ctr"/>
        <c:lblOffset val="100"/>
        <c:noMultiLvlLbl val="0"/>
      </c:catAx>
      <c:valAx>
        <c:axId val="255881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875712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505584738126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'[36]Diagramm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'[36]Diagramm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'[36]Diagramm Kapitel 5'!$H$49:$H$60</c:f>
              <c:numCache>
                <c:formatCode>General</c:formatCode>
                <c:ptCount val="12"/>
                <c:pt idx="0">
                  <c:v>87.7550438596491</c:v>
                </c:pt>
                <c:pt idx="1">
                  <c:v>88.8313377192982</c:v>
                </c:pt>
                <c:pt idx="2">
                  <c:v>86.8313523391813</c:v>
                </c:pt>
                <c:pt idx="3">
                  <c:v>85.5879166666667</c:v>
                </c:pt>
                <c:pt idx="4">
                  <c:v>90.3568640350877</c:v>
                </c:pt>
                <c:pt idx="5">
                  <c:v>94.7681652046784</c:v>
                </c:pt>
                <c:pt idx="6">
                  <c:v>88.375519005848</c:v>
                </c:pt>
                <c:pt idx="7">
                  <c:v>82.3745687134503</c:v>
                </c:pt>
                <c:pt idx="8">
                  <c:v>84.4268713450292</c:v>
                </c:pt>
                <c:pt idx="9">
                  <c:v>80.4633114035088</c:v>
                </c:pt>
                <c:pt idx="10">
                  <c:v>80.1983698830409</c:v>
                </c:pt>
                <c:pt idx="11">
                  <c:v>76.0856871345029</c:v>
                </c:pt>
              </c:numCache>
            </c:numRef>
          </c:val>
        </c:ser>
        <c:ser>
          <c:idx val="1"/>
          <c:order val="1"/>
          <c:tx>
            <c:strRef>
              <c:f>'[36]Diagramm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'[36]Diagramm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'[36]Diagramm Kapitel 5'!$I$49:$I$60</c:f>
              <c:numCache>
                <c:formatCode>General</c:formatCode>
                <c:ptCount val="12"/>
                <c:pt idx="0">
                  <c:v>24.1707983539095</c:v>
                </c:pt>
                <c:pt idx="1">
                  <c:v>43.9336985596708</c:v>
                </c:pt>
                <c:pt idx="2">
                  <c:v>27.707738616753</c:v>
                </c:pt>
                <c:pt idx="3">
                  <c:v>64.7756670649144</c:v>
                </c:pt>
                <c:pt idx="4">
                  <c:v>40.5868677817603</c:v>
                </c:pt>
                <c:pt idx="5">
                  <c:v>41.5526417098102</c:v>
                </c:pt>
                <c:pt idx="6">
                  <c:v>32.1455932784637</c:v>
                </c:pt>
                <c:pt idx="7">
                  <c:v>46.3438902163812</c:v>
                </c:pt>
                <c:pt idx="8">
                  <c:v>42.1263374485597</c:v>
                </c:pt>
                <c:pt idx="9">
                  <c:v>45.2768020708881</c:v>
                </c:pt>
                <c:pt idx="10">
                  <c:v>37.7691700960219</c:v>
                </c:pt>
                <c:pt idx="11">
                  <c:v>36.1966148944644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911424"/>
        <c:axId val="255912960"/>
      </c:barChart>
      <c:catAx>
        <c:axId val="25591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912960"/>
        <c:crosses val="autoZero"/>
        <c:auto val="1"/>
        <c:lblAlgn val="ctr"/>
        <c:lblOffset val="100"/>
        <c:noMultiLvlLbl val="0"/>
      </c:catAx>
      <c:valAx>
        <c:axId val="255912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9114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74927450980392"/>
          <c:y val="0.0346639730639731"/>
          <c:w val="0.822434477124183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00219219219219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'[38]Diagramm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'[38]Diagramm Kapitel 5'!$D$4:$D$15</c:f>
              <c:numCache>
                <c:formatCode>General</c:formatCode>
                <c:ptCount val="12"/>
                <c:pt idx="0">
                  <c:v>4.62692476747242</c:v>
                </c:pt>
                <c:pt idx="1">
                  <c:v>10.4046761673865</c:v>
                </c:pt>
                <c:pt idx="2">
                  <c:v>11.5266472336036</c:v>
                </c:pt>
                <c:pt idx="3">
                  <c:v>14.5601064982902</c:v>
                </c:pt>
                <c:pt idx="4">
                  <c:v>12.4453813461512</c:v>
                </c:pt>
                <c:pt idx="5">
                  <c:v>13.0137175910074</c:v>
                </c:pt>
                <c:pt idx="6">
                  <c:v>15.38722177957</c:v>
                </c:pt>
                <c:pt idx="7">
                  <c:v>5.55959300089535</c:v>
                </c:pt>
                <c:pt idx="8">
                  <c:v>11.9226599245062</c:v>
                </c:pt>
                <c:pt idx="9">
                  <c:v>9.69767135113644</c:v>
                </c:pt>
                <c:pt idx="10">
                  <c:v>8.72840243334373</c:v>
                </c:pt>
                <c:pt idx="11">
                  <c:v>4.49818124142691</c:v>
                </c:pt>
              </c:numCache>
            </c:numRef>
          </c:val>
        </c:ser>
        <c:ser>
          <c:idx val="9"/>
          <c:order val="1"/>
          <c:tx>
            <c:strRef>
              <c:f>'[38]Diagramm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'[38]Diagramm Kapitel 5'!$E$4:$E$15</c:f>
              <c:numCache>
                <c:formatCode>General</c:formatCode>
                <c:ptCount val="12"/>
                <c:pt idx="0">
                  <c:v>58.5487544911732</c:v>
                </c:pt>
                <c:pt idx="1">
                  <c:v>41.5041052073996</c:v>
                </c:pt>
                <c:pt idx="2">
                  <c:v>44.4502340081548</c:v>
                </c:pt>
                <c:pt idx="3">
                  <c:v>36.8217584042548</c:v>
                </c:pt>
                <c:pt idx="4">
                  <c:v>40.2256711067661</c:v>
                </c:pt>
                <c:pt idx="5">
                  <c:v>42.8283152059096</c:v>
                </c:pt>
                <c:pt idx="6">
                  <c:v>48.6737586109996</c:v>
                </c:pt>
                <c:pt idx="7">
                  <c:v>46.7119776747392</c:v>
                </c:pt>
                <c:pt idx="8">
                  <c:v>37.9079899489672</c:v>
                </c:pt>
                <c:pt idx="9">
                  <c:v>44.0399754201301</c:v>
                </c:pt>
                <c:pt idx="10">
                  <c:v>39.5563528121177</c:v>
                </c:pt>
                <c:pt idx="11">
                  <c:v>43.0622537733213</c:v>
                </c:pt>
              </c:numCache>
            </c:numRef>
          </c:val>
        </c:ser>
        <c:ser>
          <c:idx val="10"/>
          <c:order val="2"/>
          <c:tx>
            <c:strRef>
              <c:f>'[38]Diagramm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val>
            <c:numRef>
              <c:f>'[38]Diagramm Kapitel 5'!$F$4:$F$15</c:f>
              <c:numCache>
                <c:formatCode>General</c:formatCode>
                <c:ptCount val="12"/>
                <c:pt idx="0">
                  <c:v>11.5747652923785</c:v>
                </c:pt>
                <c:pt idx="1">
                  <c:v>23.4052211514954</c:v>
                </c:pt>
                <c:pt idx="2">
                  <c:v>21.8731250231138</c:v>
                </c:pt>
                <c:pt idx="3">
                  <c:v>24.2418385958399</c:v>
                </c:pt>
                <c:pt idx="4">
                  <c:v>26.0153163061632</c:v>
                </c:pt>
                <c:pt idx="5">
                  <c:v>27.7367796079231</c:v>
                </c:pt>
                <c:pt idx="6">
                  <c:v>21.2647313576267</c:v>
                </c:pt>
                <c:pt idx="7">
                  <c:v>22.4758394279613</c:v>
                </c:pt>
                <c:pt idx="8">
                  <c:v>21.7525210896173</c:v>
                </c:pt>
                <c:pt idx="9">
                  <c:v>26.1123610115254</c:v>
                </c:pt>
                <c:pt idx="10">
                  <c:v>28.9580653427775</c:v>
                </c:pt>
                <c:pt idx="11">
                  <c:v>28.2638161453241</c:v>
                </c:pt>
              </c:numCache>
            </c:numRef>
          </c:val>
        </c:ser>
        <c:ser>
          <c:idx val="11"/>
          <c:order val="3"/>
          <c:tx>
            <c:strRef>
              <c:f>'[38]Diagramm Kapitel 5'!$G$2</c:f>
              <c:strCache>
                <c:ptCount val="1"/>
                <c:pt idx="0">
                  <c:v>Weizen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'[38]Diagramm Kapitel 5'!$G$4:$G$15</c:f>
              <c:numCache>
                <c:formatCode>General</c:formatCode>
                <c:ptCount val="12"/>
                <c:pt idx="0">
                  <c:v>3.31035848076087</c:v>
                </c:pt>
                <c:pt idx="1">
                  <c:v>0.667541867003504</c:v>
                </c:pt>
                <c:pt idx="2">
                  <c:v>0</c:v>
                </c:pt>
                <c:pt idx="3">
                  <c:v>0.820097865011892</c:v>
                </c:pt>
                <c:pt idx="4">
                  <c:v>0.345974717232202</c:v>
                </c:pt>
                <c:pt idx="5">
                  <c:v>0.117360802511856</c:v>
                </c:pt>
                <c:pt idx="6">
                  <c:v>0.357449721707294</c:v>
                </c:pt>
                <c:pt idx="7">
                  <c:v>0</c:v>
                </c:pt>
                <c:pt idx="8">
                  <c:v>1.23460630122439</c:v>
                </c:pt>
                <c:pt idx="9">
                  <c:v>1.7189030576683</c:v>
                </c:pt>
                <c:pt idx="10">
                  <c:v>0.310606051042654</c:v>
                </c:pt>
                <c:pt idx="11">
                  <c:v>0.114046416833553</c:v>
                </c:pt>
              </c:numCache>
            </c:numRef>
          </c:val>
        </c:ser>
        <c:ser>
          <c:idx val="12"/>
          <c:order val="4"/>
          <c:tx>
            <c:strRef>
              <c:f>'[38]Diagramm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val>
            <c:numRef>
              <c:f>'[38]Diagramm Kapitel 5'!$I$4:$I$15</c:f>
              <c:numCache>
                <c:formatCode>General</c:formatCode>
                <c:ptCount val="12"/>
                <c:pt idx="0">
                  <c:v>7.02779489729664</c:v>
                </c:pt>
                <c:pt idx="1">
                  <c:v>8.42866310814115</c:v>
                </c:pt>
                <c:pt idx="2">
                  <c:v>5.68673762439359</c:v>
                </c:pt>
                <c:pt idx="3">
                  <c:v>6.55957502401488</c:v>
                </c:pt>
                <c:pt idx="4">
                  <c:v>5.13809116460956</c:v>
                </c:pt>
                <c:pt idx="5">
                  <c:v>5.16569655202558</c:v>
                </c:pt>
                <c:pt idx="6">
                  <c:v>5.52775005579731</c:v>
                </c:pt>
                <c:pt idx="7">
                  <c:v>8.35948100537517</c:v>
                </c:pt>
                <c:pt idx="8">
                  <c:v>6.37604059515267</c:v>
                </c:pt>
                <c:pt idx="9">
                  <c:v>5.11226286708054</c:v>
                </c:pt>
                <c:pt idx="10">
                  <c:v>0.608967116533129</c:v>
                </c:pt>
                <c:pt idx="11">
                  <c:v>2.56345901678394</c:v>
                </c:pt>
              </c:numCache>
            </c:numRef>
          </c:val>
        </c:ser>
        <c:ser>
          <c:idx val="13"/>
          <c:order val="5"/>
          <c:tx>
            <c:strRef>
              <c:f>[39]BGA19_Diagramme!$T$13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val>
            <c:numRef>
              <c:f>'[38]Diagramm Kapitel 5'!$J$4:$J$15</c:f>
              <c:numCache>
                <c:formatCode>General</c:formatCode>
                <c:ptCount val="12"/>
                <c:pt idx="0">
                  <c:v>12.6409217908365</c:v>
                </c:pt>
                <c:pt idx="1">
                  <c:v>13.2408855227773</c:v>
                </c:pt>
                <c:pt idx="2">
                  <c:v>12.7336424739566</c:v>
                </c:pt>
                <c:pt idx="3">
                  <c:v>12.6211789955772</c:v>
                </c:pt>
                <c:pt idx="4">
                  <c:v>10.7155077599902</c:v>
                </c:pt>
                <c:pt idx="5">
                  <c:v>7.15871755458261</c:v>
                </c:pt>
                <c:pt idx="6">
                  <c:v>6.51625870062227</c:v>
                </c:pt>
                <c:pt idx="7">
                  <c:v>11.5620605944993</c:v>
                </c:pt>
                <c:pt idx="8">
                  <c:v>8.88352221602611</c:v>
                </c:pt>
                <c:pt idx="9">
                  <c:v>7.90081534904103</c:v>
                </c:pt>
                <c:pt idx="10">
                  <c:v>14.8021046226714</c:v>
                </c:pt>
                <c:pt idx="11">
                  <c:v>17.208575965197</c:v>
                </c:pt>
              </c:numCache>
            </c:numRef>
          </c:val>
        </c:ser>
        <c:ser>
          <c:idx val="14"/>
          <c:order val="6"/>
          <c:tx>
            <c:strRef>
              <c:f>'[38]Diagramm Kapitel 5'!$P$2</c:f>
              <c:strCache>
                <c:ptCount val="1"/>
                <c:pt idx="0">
                  <c:v>Pferdemist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'[38]Diagramm Kapitel 5'!$P$4:$P$15</c:f>
              <c:numCache>
                <c:formatCode>General</c:formatCode>
                <c:ptCount val="12"/>
                <c:pt idx="0">
                  <c:v>2.27048028008187</c:v>
                </c:pt>
                <c:pt idx="1">
                  <c:v>2.34890697579659</c:v>
                </c:pt>
                <c:pt idx="2">
                  <c:v>3.72961363677761</c:v>
                </c:pt>
                <c:pt idx="3">
                  <c:v>4.37544461701112</c:v>
                </c:pt>
                <c:pt idx="4">
                  <c:v>5.11405759908754</c:v>
                </c:pt>
                <c:pt idx="5">
                  <c:v>3.97941268603982</c:v>
                </c:pt>
                <c:pt idx="6">
                  <c:v>2.27282977367685</c:v>
                </c:pt>
                <c:pt idx="7">
                  <c:v>5.33104829652968</c:v>
                </c:pt>
                <c:pt idx="8">
                  <c:v>11.9226599245062</c:v>
                </c:pt>
                <c:pt idx="9">
                  <c:v>5.41801094341817</c:v>
                </c:pt>
                <c:pt idx="10">
                  <c:v>7.03550162151381</c:v>
                </c:pt>
                <c:pt idx="11">
                  <c:v>4.2896674411133</c:v>
                </c:pt>
              </c:numCache>
            </c:numRef>
          </c:val>
        </c:ser>
        <c:ser>
          <c:idx val="15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</c:spPr>
          <c:invertIfNegative val="0"/>
          <c:dLbls>
            <c:delete val="1"/>
          </c:dLbls>
          <c:val>
            <c:numRef>
              <c:f>'[38]Diagramm Kapitel 5'!$Z$4:$Z$15</c:f>
              <c:numCache>
                <c:formatCode>General</c:formatCode>
                <c:ptCount val="12"/>
                <c:pt idx="0">
                  <c:v>56.5739333333333</c:v>
                </c:pt>
                <c:pt idx="1">
                  <c:v>50.6673548387097</c:v>
                </c:pt>
                <c:pt idx="2">
                  <c:v>60.3896333333333</c:v>
                </c:pt>
                <c:pt idx="3">
                  <c:v>50.7413870967742</c:v>
                </c:pt>
                <c:pt idx="4">
                  <c:v>47.5141935483871</c:v>
                </c:pt>
                <c:pt idx="5">
                  <c:v>49.0246428571429</c:v>
                </c:pt>
                <c:pt idx="6">
                  <c:v>55.7894838709677</c:v>
                </c:pt>
                <c:pt idx="7">
                  <c:v>54.1688333333333</c:v>
                </c:pt>
                <c:pt idx="8">
                  <c:v>58.0778064516129</c:v>
                </c:pt>
                <c:pt idx="9">
                  <c:v>53.3227666666667</c:v>
                </c:pt>
                <c:pt idx="10">
                  <c:v>51.1071612903226</c:v>
                </c:pt>
                <c:pt idx="11">
                  <c:v>55.5235161290322</c:v>
                </c:pt>
              </c:numCache>
            </c:numRef>
          </c:val>
        </c:ser>
        <c:ser>
          <c:idx val="4"/>
          <c:order val="8"/>
          <c:tx>
            <c:strRef>
              <c:f>'[38]Diagramm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'[38]Diagramm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'[38]Diagramm Kapitel 5'!$F$4:$F$15</c:f>
              <c:numCache>
                <c:formatCode>General</c:formatCode>
                <c:ptCount val="12"/>
                <c:pt idx="0">
                  <c:v>11.5747652923785</c:v>
                </c:pt>
                <c:pt idx="1">
                  <c:v>23.4052211514954</c:v>
                </c:pt>
                <c:pt idx="2">
                  <c:v>21.8731250231138</c:v>
                </c:pt>
                <c:pt idx="3">
                  <c:v>24.2418385958399</c:v>
                </c:pt>
                <c:pt idx="4">
                  <c:v>26.0153163061632</c:v>
                </c:pt>
                <c:pt idx="5">
                  <c:v>27.7367796079231</c:v>
                </c:pt>
                <c:pt idx="6">
                  <c:v>21.2647313576267</c:v>
                </c:pt>
                <c:pt idx="7">
                  <c:v>22.4758394279613</c:v>
                </c:pt>
                <c:pt idx="8">
                  <c:v>21.7525210896173</c:v>
                </c:pt>
                <c:pt idx="9">
                  <c:v>26.1123610115254</c:v>
                </c:pt>
                <c:pt idx="10">
                  <c:v>28.9580653427775</c:v>
                </c:pt>
                <c:pt idx="11">
                  <c:v>28.2638161453241</c:v>
                </c:pt>
              </c:numCache>
            </c:numRef>
          </c:val>
        </c:ser>
        <c:ser>
          <c:idx val="3"/>
          <c:order val="9"/>
          <c:tx>
            <c:strRef>
              <c:f>'[38]Diagramm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'[38]Diagramm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'[38]Diagramm Kapitel 5'!$I$4:$I$15</c:f>
              <c:numCache>
                <c:formatCode>General</c:formatCode>
                <c:ptCount val="12"/>
                <c:pt idx="0">
                  <c:v>7.02779489729664</c:v>
                </c:pt>
                <c:pt idx="1">
                  <c:v>8.42866310814115</c:v>
                </c:pt>
                <c:pt idx="2">
                  <c:v>5.68673762439359</c:v>
                </c:pt>
                <c:pt idx="3">
                  <c:v>6.55957502401488</c:v>
                </c:pt>
                <c:pt idx="4">
                  <c:v>5.13809116460956</c:v>
                </c:pt>
                <c:pt idx="5">
                  <c:v>5.16569655202558</c:v>
                </c:pt>
                <c:pt idx="6">
                  <c:v>5.52775005579731</c:v>
                </c:pt>
                <c:pt idx="7">
                  <c:v>8.35948100537517</c:v>
                </c:pt>
                <c:pt idx="8">
                  <c:v>6.37604059515267</c:v>
                </c:pt>
                <c:pt idx="9">
                  <c:v>5.11226286708054</c:v>
                </c:pt>
                <c:pt idx="10">
                  <c:v>0.608967116533129</c:v>
                </c:pt>
                <c:pt idx="11">
                  <c:v>2.56345901678394</c:v>
                </c:pt>
              </c:numCache>
            </c:numRef>
          </c:val>
        </c:ser>
        <c:ser>
          <c:idx val="5"/>
          <c:order val="10"/>
          <c:tx>
            <c:strRef>
              <c:f>[39]BGA19_Diagramme!$T$13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'[38]Diagramm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'[38]Diagramm Kapitel 5'!$J$4:$J$15</c:f>
              <c:numCache>
                <c:formatCode>General</c:formatCode>
                <c:ptCount val="12"/>
                <c:pt idx="0">
                  <c:v>12.6409217908365</c:v>
                </c:pt>
                <c:pt idx="1">
                  <c:v>13.2408855227773</c:v>
                </c:pt>
                <c:pt idx="2">
                  <c:v>12.7336424739566</c:v>
                </c:pt>
                <c:pt idx="3">
                  <c:v>12.6211789955772</c:v>
                </c:pt>
                <c:pt idx="4">
                  <c:v>10.7155077599902</c:v>
                </c:pt>
                <c:pt idx="5">
                  <c:v>7.15871755458261</c:v>
                </c:pt>
                <c:pt idx="6">
                  <c:v>6.51625870062227</c:v>
                </c:pt>
                <c:pt idx="7">
                  <c:v>11.5620605944993</c:v>
                </c:pt>
                <c:pt idx="8">
                  <c:v>8.88352221602611</c:v>
                </c:pt>
                <c:pt idx="9">
                  <c:v>7.90081534904103</c:v>
                </c:pt>
                <c:pt idx="10">
                  <c:v>14.8021046226714</c:v>
                </c:pt>
                <c:pt idx="11">
                  <c:v>17.208575965197</c:v>
                </c:pt>
              </c:numCache>
            </c:numRef>
          </c:val>
        </c:ser>
        <c:ser>
          <c:idx val="1"/>
          <c:order val="11"/>
          <c:tx>
            <c:strRef>
              <c:f>'[38]Diagramm Kapitel 5'!$G$2</c:f>
              <c:strCache>
                <c:ptCount val="1"/>
                <c:pt idx="0">
                  <c:v>Weizen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'[38]Diagramm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'[38]Diagramm Kapitel 5'!$G$4:$G$15</c:f>
              <c:numCache>
                <c:formatCode>General</c:formatCode>
                <c:ptCount val="12"/>
                <c:pt idx="0">
                  <c:v>3.31035848076087</c:v>
                </c:pt>
                <c:pt idx="1">
                  <c:v>0.667541867003504</c:v>
                </c:pt>
                <c:pt idx="2">
                  <c:v>0</c:v>
                </c:pt>
                <c:pt idx="3">
                  <c:v>0.820097865011892</c:v>
                </c:pt>
                <c:pt idx="4">
                  <c:v>0.345974717232202</c:v>
                </c:pt>
                <c:pt idx="5">
                  <c:v>0.117360802511856</c:v>
                </c:pt>
                <c:pt idx="6">
                  <c:v>0.357449721707294</c:v>
                </c:pt>
                <c:pt idx="7">
                  <c:v>0</c:v>
                </c:pt>
                <c:pt idx="8">
                  <c:v>1.23460630122439</c:v>
                </c:pt>
                <c:pt idx="9">
                  <c:v>1.7189030576683</c:v>
                </c:pt>
                <c:pt idx="10">
                  <c:v>0.310606051042654</c:v>
                </c:pt>
                <c:pt idx="11">
                  <c:v>0.114046416833553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6377600"/>
        <c:axId val="256379520"/>
      </c:barChart>
      <c:barChart>
        <c:barDir val="col"/>
        <c:grouping val="stacked"/>
        <c:varyColors val="0"/>
        <c:ser>
          <c:idx val="8"/>
          <c:order val="13"/>
          <c:tx>
            <c:strRef>
              <c:f>'[38]Diagramm Kapitel 5'!$P$2</c:f>
              <c:strCache>
                <c:ptCount val="1"/>
                <c:pt idx="0">
                  <c:v>Pferdemist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'[38]Diagramm Kapitel 5'!$P$4:$P$15</c:f>
              <c:numCache>
                <c:formatCode>General</c:formatCode>
                <c:ptCount val="12"/>
                <c:pt idx="0">
                  <c:v>2.27048028008187</c:v>
                </c:pt>
                <c:pt idx="1">
                  <c:v>2.34890697579659</c:v>
                </c:pt>
                <c:pt idx="2">
                  <c:v>3.72961363677761</c:v>
                </c:pt>
                <c:pt idx="3">
                  <c:v>4.37544461701112</c:v>
                </c:pt>
                <c:pt idx="4">
                  <c:v>5.11405759908754</c:v>
                </c:pt>
                <c:pt idx="5">
                  <c:v>3.97941268603982</c:v>
                </c:pt>
                <c:pt idx="6">
                  <c:v>2.27282977367685</c:v>
                </c:pt>
                <c:pt idx="7">
                  <c:v>5.33104829652968</c:v>
                </c:pt>
                <c:pt idx="8">
                  <c:v>11.9226599245062</c:v>
                </c:pt>
                <c:pt idx="9">
                  <c:v>5.41801094341817</c:v>
                </c:pt>
                <c:pt idx="10">
                  <c:v>7.03550162151381</c:v>
                </c:pt>
                <c:pt idx="11">
                  <c:v>4.2896674411133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6383616"/>
        <c:axId val="256381696"/>
      </c:barChart>
      <c:lineChart>
        <c:grouping val="stacked"/>
        <c:varyColors val="0"/>
        <c:ser>
          <c:idx val="7"/>
          <c:order val="12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'[38]Diagramm Kapitel 5'!$Z$4:$Z$15</c:f>
              <c:numCache>
                <c:formatCode>General</c:formatCode>
                <c:ptCount val="12"/>
                <c:pt idx="0">
                  <c:v>56.5739333333333</c:v>
                </c:pt>
                <c:pt idx="1">
                  <c:v>50.6673548387097</c:v>
                </c:pt>
                <c:pt idx="2">
                  <c:v>60.3896333333333</c:v>
                </c:pt>
                <c:pt idx="3">
                  <c:v>50.7413870967742</c:v>
                </c:pt>
                <c:pt idx="4">
                  <c:v>47.5141935483871</c:v>
                </c:pt>
                <c:pt idx="5">
                  <c:v>49.0246428571429</c:v>
                </c:pt>
                <c:pt idx="6">
                  <c:v>55.7894838709677</c:v>
                </c:pt>
                <c:pt idx="7">
                  <c:v>54.1688333333333</c:v>
                </c:pt>
                <c:pt idx="8">
                  <c:v>58.0778064516129</c:v>
                </c:pt>
                <c:pt idx="9">
                  <c:v>53.3227666666667</c:v>
                </c:pt>
                <c:pt idx="10">
                  <c:v>51.1071612903226</c:v>
                </c:pt>
                <c:pt idx="11">
                  <c:v>55.5235161290322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383616"/>
        <c:axId val="256381696"/>
      </c:lineChart>
      <c:dateAx>
        <c:axId val="25637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379520"/>
        <c:crosses val="autoZero"/>
        <c:auto val="0"/>
        <c:lblAlgn val="ctr"/>
        <c:lblOffset val="100"/>
        <c:baseTimeUnit val="days"/>
      </c:dateAx>
      <c:valAx>
        <c:axId val="25637952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377600"/>
        <c:crosses val="autoZero"/>
        <c:crossBetween val="between"/>
      </c:valAx>
      <c:catAx>
        <c:axId val="25638361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381696"/>
        <c:crosses val="autoZero"/>
        <c:auto val="1"/>
        <c:lblAlgn val="ctr"/>
        <c:lblOffset val="100"/>
        <c:noMultiLvlLbl val="0"/>
      </c:catAx>
      <c:valAx>
        <c:axId val="25638169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5042755614856"/>
              <c:y val="0.056430570881727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38361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"/>
          <c:y val="0.843788288288288"/>
          <c:w val="1"/>
          <c:h val="0.15621171171171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'[38]Diagramm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[39]BGA19_Diagramme!$B$23:$B$34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'[38]Diagramm Kapitel 5'!$E$28:$E$39</c:f>
              <c:numCache>
                <c:formatCode>General</c:formatCode>
                <c:ptCount val="12"/>
                <c:pt idx="0">
                  <c:v>0.219</c:v>
                </c:pt>
                <c:pt idx="1">
                  <c:v>0.244</c:v>
                </c:pt>
                <c:pt idx="2">
                  <c:v>0.113</c:v>
                </c:pt>
                <c:pt idx="3">
                  <c:v>0.112</c:v>
                </c:pt>
                <c:pt idx="4">
                  <c:v>0.199</c:v>
                </c:pt>
                <c:pt idx="5">
                  <c:v>0.2285</c:v>
                </c:pt>
                <c:pt idx="6">
                  <c:v>0.2775</c:v>
                </c:pt>
                <c:pt idx="7">
                  <c:v>0.245</c:v>
                </c:pt>
                <c:pt idx="8">
                  <c:v>0.3995</c:v>
                </c:pt>
                <c:pt idx="9">
                  <c:v>0.3325</c:v>
                </c:pt>
                <c:pt idx="10">
                  <c:v>0.3225</c:v>
                </c:pt>
                <c:pt idx="11">
                  <c:v>0.2785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6420096"/>
        <c:axId val="256421888"/>
      </c:barChart>
      <c:catAx>
        <c:axId val="25642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421888"/>
        <c:crosses val="autoZero"/>
        <c:auto val="1"/>
        <c:lblAlgn val="ctr"/>
        <c:lblOffset val="100"/>
        <c:noMultiLvlLbl val="0"/>
      </c:catAx>
      <c:valAx>
        <c:axId val="2564218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42009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654452478809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'[38]Diagramm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'[38]Diagramm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'[38]Diagramm Kapitel 5'!$H$49:$H$60</c:f>
              <c:numCache>
                <c:formatCode>General</c:formatCode>
                <c:ptCount val="12"/>
                <c:pt idx="0">
                  <c:v>25.1105403348554</c:v>
                </c:pt>
                <c:pt idx="1">
                  <c:v>21.4694726763883</c:v>
                </c:pt>
                <c:pt idx="2">
                  <c:v>22.9805936073059</c:v>
                </c:pt>
                <c:pt idx="3">
                  <c:v>25.7930107526882</c:v>
                </c:pt>
                <c:pt idx="4">
                  <c:v>25.5525114155251</c:v>
                </c:pt>
                <c:pt idx="5">
                  <c:v>26.5476190476191</c:v>
                </c:pt>
                <c:pt idx="6">
                  <c:v>23.6869515813396</c:v>
                </c:pt>
                <c:pt idx="7">
                  <c:v>27.5511980163991</c:v>
                </c:pt>
                <c:pt idx="8">
                  <c:v>23.187865174056</c:v>
                </c:pt>
                <c:pt idx="9">
                  <c:v>30.4656736387293</c:v>
                </c:pt>
                <c:pt idx="10">
                  <c:v>24.442449796239</c:v>
                </c:pt>
                <c:pt idx="11">
                  <c:v>34.0066651936957</c:v>
                </c:pt>
              </c:numCache>
            </c:numRef>
          </c:val>
        </c:ser>
        <c:ser>
          <c:idx val="1"/>
          <c:order val="1"/>
          <c:tx>
            <c:strRef>
              <c:f>'[38]Diagramm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'[38]Diagramm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'[38]Diagramm Kapitel 5'!$I$49:$I$60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451712"/>
        <c:axId val="256453248"/>
      </c:barChart>
      <c:catAx>
        <c:axId val="25645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453248"/>
        <c:crosses val="autoZero"/>
        <c:auto val="1"/>
        <c:lblAlgn val="ctr"/>
        <c:lblOffset val="100"/>
        <c:noMultiLvlLbl val="0"/>
      </c:catAx>
      <c:valAx>
        <c:axId val="2564532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45171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'[40]Diagramm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'[40]Diagramm Kapitel 5'!$D$4:$D$15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1"/>
          <c:tx>
            <c:strRef>
              <c:f>'[40]Diagramm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'[40]Diagramm Kapitel 5'!$E$4:$E$15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2"/>
          <c:tx>
            <c:strRef>
              <c:f>'[40]Diagramm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'[40]Diagramm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'[40]Diagramm Kapitel 5'!$F$4:$F$15</c:f>
              <c:numCache>
                <c:formatCode>General</c:formatCode>
                <c:ptCount val="12"/>
                <c:pt idx="0">
                  <c:v>51.4663455749549</c:v>
                </c:pt>
                <c:pt idx="1">
                  <c:v>50.6332227301204</c:v>
                </c:pt>
                <c:pt idx="2">
                  <c:v>45.8329462477472</c:v>
                </c:pt>
                <c:pt idx="3">
                  <c:v>41.5538194444445</c:v>
                </c:pt>
                <c:pt idx="4">
                  <c:v>49.020471442162</c:v>
                </c:pt>
                <c:pt idx="5">
                  <c:v>47.3264767569672</c:v>
                </c:pt>
                <c:pt idx="6">
                  <c:v>44.8270585652414</c:v>
                </c:pt>
                <c:pt idx="7">
                  <c:v>35.7559998294898</c:v>
                </c:pt>
                <c:pt idx="8">
                  <c:v>37.2377729350133</c:v>
                </c:pt>
                <c:pt idx="9">
                  <c:v>41.7511319788461</c:v>
                </c:pt>
                <c:pt idx="10">
                  <c:v>43.3072633724532</c:v>
                </c:pt>
                <c:pt idx="11">
                  <c:v>56.3884322916413</c:v>
                </c:pt>
              </c:numCache>
            </c:numRef>
          </c:val>
        </c:ser>
        <c:ser>
          <c:idx val="3"/>
          <c:order val="3"/>
          <c:tx>
            <c:strRef>
              <c:f>'[40]Diagramm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'[40]Diagramm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'[40]Diagramm Kapitel 5'!$I$4:$I$15</c:f>
              <c:numCache>
                <c:formatCode>General</c:formatCode>
                <c:ptCount val="12"/>
                <c:pt idx="0">
                  <c:v>34.5252257676099</c:v>
                </c:pt>
                <c:pt idx="1">
                  <c:v>38.61243241989</c:v>
                </c:pt>
                <c:pt idx="2">
                  <c:v>44.8282269002806</c:v>
                </c:pt>
                <c:pt idx="3">
                  <c:v>26.9710648148148</c:v>
                </c:pt>
                <c:pt idx="4">
                  <c:v>13.5830309009549</c:v>
                </c:pt>
                <c:pt idx="5">
                  <c:v>25.9046275304177</c:v>
                </c:pt>
                <c:pt idx="6">
                  <c:v>23.970301574735</c:v>
                </c:pt>
                <c:pt idx="7">
                  <c:v>32.5450786478537</c:v>
                </c:pt>
                <c:pt idx="8">
                  <c:v>31.9793466033446</c:v>
                </c:pt>
                <c:pt idx="9">
                  <c:v>24.9364925641793</c:v>
                </c:pt>
                <c:pt idx="10">
                  <c:v>17.0396077832751</c:v>
                </c:pt>
                <c:pt idx="11">
                  <c:v>18.362688336203</c:v>
                </c:pt>
              </c:numCache>
            </c:numRef>
          </c:val>
        </c:ser>
        <c:ser>
          <c:idx val="2"/>
          <c:order val="4"/>
          <c:tx>
            <c:strRef>
              <c:f>'[40]Diagramm Kapitel 5'!$H$2</c:f>
              <c:strCache>
                <c:ptCount val="1"/>
                <c:pt idx="0">
                  <c:v>Zuckerrübe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'[40]Diagramm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'[40]Diagramm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1.8473272514446</c:v>
                </c:pt>
                <c:pt idx="3">
                  <c:v>21.5219907407407</c:v>
                </c:pt>
                <c:pt idx="4">
                  <c:v>29.9408054684472</c:v>
                </c:pt>
                <c:pt idx="5">
                  <c:v>9.66721650027736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'[40]Diagramm Kapitel 5'!$J$2</c:f>
              <c:strCache>
                <c:ptCount val="1"/>
                <c:pt idx="0">
                  <c:v>Triticale-Ganzpflanzensilage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'[40]Diagramm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'[40]Diagramm Kapitel 5'!$J$4:$J$15</c:f>
              <c:numCache>
                <c:formatCode>General</c:formatCode>
                <c:ptCount val="12"/>
                <c:pt idx="0">
                  <c:v>14.0084286574353</c:v>
                </c:pt>
                <c:pt idx="1">
                  <c:v>10.7543448499896</c:v>
                </c:pt>
                <c:pt idx="2">
                  <c:v>5.80767730068189</c:v>
                </c:pt>
                <c:pt idx="3">
                  <c:v>21.5451388888889</c:v>
                </c:pt>
                <c:pt idx="4">
                  <c:v>28.5252457630105</c:v>
                </c:pt>
                <c:pt idx="5">
                  <c:v>22.412427898372</c:v>
                </c:pt>
                <c:pt idx="6">
                  <c:v>25.0407488473897</c:v>
                </c:pt>
                <c:pt idx="7">
                  <c:v>25.8323031672279</c:v>
                </c:pt>
                <c:pt idx="8">
                  <c:v>27.958806169661</c:v>
                </c:pt>
                <c:pt idx="9">
                  <c:v>32.9609929977031</c:v>
                </c:pt>
                <c:pt idx="10">
                  <c:v>37.9466089595661</c:v>
                </c:pt>
                <c:pt idx="11">
                  <c:v>24.4991927577444</c:v>
                </c:pt>
              </c:numCache>
            </c:numRef>
          </c:val>
        </c:ser>
        <c:ser>
          <c:idx val="1"/>
          <c:order val="6"/>
          <c:tx>
            <c:strRef>
              <c:f>'[40]Diagramm Kapitel 5'!$G$2</c:f>
              <c:strCache>
                <c:ptCount val="1"/>
                <c:pt idx="0">
                  <c:v>Getreide insg.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'[40]Diagramm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2.80838334479107</c:v>
                </c:pt>
                <c:pt idx="3">
                  <c:v>3.20601851851852</c:v>
                </c:pt>
                <c:pt idx="4">
                  <c:v>3.54462492512596</c:v>
                </c:pt>
                <c:pt idx="5">
                  <c:v>2.12371402602611</c:v>
                </c:pt>
                <c:pt idx="6">
                  <c:v>6.16189101263381</c:v>
                </c:pt>
                <c:pt idx="7">
                  <c:v>5.86661835542862</c:v>
                </c:pt>
                <c:pt idx="8">
                  <c:v>2.82407429198104</c:v>
                </c:pt>
                <c:pt idx="9">
                  <c:v>0.351382459271579</c:v>
                </c:pt>
                <c:pt idx="10">
                  <c:v>1.70651988470552</c:v>
                </c:pt>
                <c:pt idx="11">
                  <c:v>0.749686614411347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6224256"/>
        <c:axId val="256230528"/>
      </c:barChart>
      <c:barChart>
        <c:barDir val="col"/>
        <c:grouping val="stacked"/>
        <c:varyColors val="0"/>
        <c:ser>
          <c:idx val="8"/>
          <c:order val="8"/>
          <c:tx>
            <c:strRef>
              <c:f>'[40]Diagramm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'[40]Diagramm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'[40]Diagramm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'[40]Diagramm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6238720"/>
        <c:axId val="256232448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'[40]Diagramm Kapitel 5'!$Z$4:$Z$15</c:f>
              <c:numCache>
                <c:formatCode>General</c:formatCode>
                <c:ptCount val="12"/>
                <c:pt idx="0">
                  <c:v>34.6041666666667</c:v>
                </c:pt>
                <c:pt idx="1">
                  <c:v>34.7556451612903</c:v>
                </c:pt>
                <c:pt idx="2">
                  <c:v>35.8806666666667</c:v>
                </c:pt>
                <c:pt idx="3">
                  <c:v>27.8709677419355</c:v>
                </c:pt>
                <c:pt idx="4">
                  <c:v>18.3103225806452</c:v>
                </c:pt>
                <c:pt idx="5">
                  <c:v>24.4013214285714</c:v>
                </c:pt>
                <c:pt idx="6">
                  <c:v>24.2437096774193</c:v>
                </c:pt>
                <c:pt idx="7">
                  <c:v>31.2786666666667</c:v>
                </c:pt>
                <c:pt idx="8">
                  <c:v>34.2675806451613</c:v>
                </c:pt>
                <c:pt idx="9">
                  <c:v>32.8701666666667</c:v>
                </c:pt>
                <c:pt idx="10">
                  <c:v>35.9248387096774</c:v>
                </c:pt>
                <c:pt idx="11">
                  <c:v>33.0675806451613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238720"/>
        <c:axId val="256232448"/>
      </c:lineChart>
      <c:dateAx>
        <c:axId val="2562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230528"/>
        <c:crosses val="autoZero"/>
        <c:auto val="0"/>
        <c:lblAlgn val="ctr"/>
        <c:lblOffset val="100"/>
        <c:baseTimeUnit val="days"/>
      </c:dateAx>
      <c:valAx>
        <c:axId val="2562305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224256"/>
        <c:crosses val="autoZero"/>
        <c:crossBetween val="between"/>
      </c:valAx>
      <c:catAx>
        <c:axId val="25623872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232448"/>
        <c:crosses val="autoZero"/>
        <c:auto val="1"/>
        <c:lblAlgn val="ctr"/>
        <c:lblOffset val="100"/>
        <c:noMultiLvlLbl val="0"/>
      </c:catAx>
      <c:valAx>
        <c:axId val="25623244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35042755614856"/>
              <c:y val="0.10076944657452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238720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96583437759116"/>
          <c:w val="0.986108482921111"/>
          <c:h val="0.10341656224088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'[40]Diagramm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'[41]BGA 20_Diagramme'!$C$30:$C$41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'[40]Diagramm Kapitel 5'!$E$28:$E$39</c:f>
              <c:numCache>
                <c:formatCode>General</c:formatCode>
                <c:ptCount val="12"/>
                <c:pt idx="0">
                  <c:v>0.284</c:v>
                </c:pt>
                <c:pt idx="1">
                  <c:v>0.132</c:v>
                </c:pt>
                <c:pt idx="2">
                  <c:v>0.211</c:v>
                </c:pt>
                <c:pt idx="3">
                  <c:v>0.2323</c:v>
                </c:pt>
                <c:pt idx="4">
                  <c:v>0.223</c:v>
                </c:pt>
                <c:pt idx="5">
                  <c:v>0.173</c:v>
                </c:pt>
                <c:pt idx="6">
                  <c:v>0.242</c:v>
                </c:pt>
                <c:pt idx="7">
                  <c:v>0.232</c:v>
                </c:pt>
                <c:pt idx="8">
                  <c:v>0.244</c:v>
                </c:pt>
                <c:pt idx="9">
                  <c:v>0.278</c:v>
                </c:pt>
                <c:pt idx="10">
                  <c:v>0.237</c:v>
                </c:pt>
                <c:pt idx="11">
                  <c:v>0.251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6322944"/>
        <c:axId val="256332928"/>
      </c:barChart>
      <c:catAx>
        <c:axId val="25632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6332928"/>
        <c:crosses val="autoZero"/>
        <c:auto val="1"/>
        <c:lblAlgn val="ctr"/>
        <c:lblOffset val="100"/>
        <c:noMultiLvlLbl val="0"/>
      </c:catAx>
      <c:valAx>
        <c:axId val="2563329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632294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580018608467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'[40]Diagramm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'[40]Diagramm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'[40]Diagramm Kapitel 5'!$H$49:$H$60</c:f>
              <c:numCache>
                <c:formatCode>General</c:formatCode>
                <c:ptCount val="12"/>
                <c:pt idx="0">
                  <c:v>69.0677192982456</c:v>
                </c:pt>
                <c:pt idx="1">
                  <c:v>69.323241571671</c:v>
                </c:pt>
                <c:pt idx="2">
                  <c:v>75.1581833616298</c:v>
                </c:pt>
                <c:pt idx="3">
                  <c:v>69.280050933786</c:v>
                </c:pt>
                <c:pt idx="4">
                  <c:v>47.1338709677421</c:v>
                </c:pt>
                <c:pt idx="5">
                  <c:v>56.8765037593987</c:v>
                </c:pt>
                <c:pt idx="6">
                  <c:v>58.0568760611206</c:v>
                </c:pt>
                <c:pt idx="7">
                  <c:v>71.2523684210526</c:v>
                </c:pt>
                <c:pt idx="8">
                  <c:v>75.9718166383702</c:v>
                </c:pt>
                <c:pt idx="9">
                  <c:v>73.2789473684211</c:v>
                </c:pt>
                <c:pt idx="10">
                  <c:v>78.4583191850597</c:v>
                </c:pt>
                <c:pt idx="11">
                  <c:v>75.6095925297114</c:v>
                </c:pt>
              </c:numCache>
            </c:numRef>
          </c:val>
        </c:ser>
        <c:ser>
          <c:idx val="1"/>
          <c:order val="1"/>
          <c:tx>
            <c:strRef>
              <c:f>'[40]Diagramm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'[40]Diagramm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'[40]Diagramm Kapitel 5'!$I$49:$I$60</c:f>
              <c:numCache>
                <c:formatCode>General</c:formatCode>
                <c:ptCount val="12"/>
                <c:pt idx="0">
                  <c:v>62.9172570551423</c:v>
                </c:pt>
                <c:pt idx="1">
                  <c:v>66.6715230879984</c:v>
                </c:pt>
                <c:pt idx="2">
                  <c:v>75.379176998465</c:v>
                </c:pt>
                <c:pt idx="3">
                  <c:v>68.613948784752</c:v>
                </c:pt>
                <c:pt idx="4">
                  <c:v>45.8093368985179</c:v>
                </c:pt>
                <c:pt idx="5">
                  <c:v>59.7986564445119</c:v>
                </c:pt>
                <c:pt idx="6">
                  <c:v>61.0936375167118</c:v>
                </c:pt>
                <c:pt idx="7">
                  <c:v>71.2350926909907</c:v>
                </c:pt>
                <c:pt idx="8">
                  <c:v>73.1007107515455</c:v>
                </c:pt>
                <c:pt idx="9">
                  <c:v>66.4953064116188</c:v>
                </c:pt>
                <c:pt idx="10">
                  <c:v>64.8246546227418</c:v>
                </c:pt>
                <c:pt idx="11">
                  <c:v>71.9685932375761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375040"/>
        <c:axId val="256577536"/>
      </c:barChart>
      <c:catAx>
        <c:axId val="25637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6577536"/>
        <c:crosses val="autoZero"/>
        <c:auto val="1"/>
        <c:lblAlgn val="ctr"/>
        <c:lblOffset val="100"/>
        <c:noMultiLvlLbl val="0"/>
      </c:catAx>
      <c:valAx>
        <c:axId val="2565775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637504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336181342633"/>
          <c:y val="0.0655463490040075"/>
          <c:w val="0.860009880848591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6875510751179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'[42]Diagramm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'[42]Diagramm Kapitel 5'!$D$4:$D$15</c:f>
              <c:numCache>
                <c:formatCode>General</c:formatCode>
                <c:ptCount val="12"/>
                <c:pt idx="0">
                  <c:v>1.78382161276745</c:v>
                </c:pt>
                <c:pt idx="1">
                  <c:v>0.0712879171015678</c:v>
                </c:pt>
                <c:pt idx="2">
                  <c:v>1.79698868351112</c:v>
                </c:pt>
                <c:pt idx="3">
                  <c:v>3.10385089702959</c:v>
                </c:pt>
                <c:pt idx="4">
                  <c:v>4.33907350510093</c:v>
                </c:pt>
                <c:pt idx="5">
                  <c:v>6.63178213141446</c:v>
                </c:pt>
                <c:pt idx="6">
                  <c:v>6.27523791574192</c:v>
                </c:pt>
                <c:pt idx="7">
                  <c:v>6.39834060479902</c:v>
                </c:pt>
                <c:pt idx="8">
                  <c:v>7.3631175258656</c:v>
                </c:pt>
                <c:pt idx="9">
                  <c:v>3.5593410269047</c:v>
                </c:pt>
                <c:pt idx="10">
                  <c:v>4.71045460763181</c:v>
                </c:pt>
                <c:pt idx="11">
                  <c:v>4.33156250518595</c:v>
                </c:pt>
              </c:numCache>
            </c:numRef>
          </c:val>
        </c:ser>
        <c:ser>
          <c:idx val="6"/>
          <c:order val="1"/>
          <c:tx>
            <c:strRef>
              <c:f>'[42]Diagramm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'[42]Diagramm Kapitel 5'!$E$4:$E$15</c:f>
              <c:numCache>
                <c:formatCode>General</c:formatCode>
                <c:ptCount val="12"/>
                <c:pt idx="0">
                  <c:v>33.4704268493679</c:v>
                </c:pt>
                <c:pt idx="1">
                  <c:v>33.895386999236</c:v>
                </c:pt>
                <c:pt idx="2">
                  <c:v>24.9540004569889</c:v>
                </c:pt>
                <c:pt idx="3">
                  <c:v>31.9928248570577</c:v>
                </c:pt>
                <c:pt idx="4">
                  <c:v>29.4323957354817</c:v>
                </c:pt>
                <c:pt idx="5">
                  <c:v>28.2315247649561</c:v>
                </c:pt>
                <c:pt idx="6">
                  <c:v>28.3963279986087</c:v>
                </c:pt>
                <c:pt idx="7">
                  <c:v>33.2337733407714</c:v>
                </c:pt>
                <c:pt idx="8">
                  <c:v>29.7449622320778</c:v>
                </c:pt>
                <c:pt idx="9">
                  <c:v>30.6993908701377</c:v>
                </c:pt>
                <c:pt idx="10">
                  <c:v>29.5700657447763</c:v>
                </c:pt>
                <c:pt idx="11">
                  <c:v>22.7144492938814</c:v>
                </c:pt>
              </c:numCache>
            </c:numRef>
          </c:val>
        </c:ser>
        <c:ser>
          <c:idx val="4"/>
          <c:order val="2"/>
          <c:tx>
            <c:strRef>
              <c:f>'[42]Diagramm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'[42]Diagramm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'[42]Diagramm Kapitel 5'!$F$4:$F$15</c:f>
              <c:numCache>
                <c:formatCode>General</c:formatCode>
                <c:ptCount val="12"/>
                <c:pt idx="0">
                  <c:v>31.1987484088869</c:v>
                </c:pt>
                <c:pt idx="1">
                  <c:v>34.6314011169337</c:v>
                </c:pt>
                <c:pt idx="2">
                  <c:v>34.0916743833656</c:v>
                </c:pt>
                <c:pt idx="3">
                  <c:v>23.7963725058585</c:v>
                </c:pt>
                <c:pt idx="4">
                  <c:v>25.0124087800836</c:v>
                </c:pt>
                <c:pt idx="5">
                  <c:v>29.9877882241714</c:v>
                </c:pt>
                <c:pt idx="6">
                  <c:v>30.0022981043078</c:v>
                </c:pt>
                <c:pt idx="7">
                  <c:v>23.1686397440406</c:v>
                </c:pt>
                <c:pt idx="8">
                  <c:v>22.4723189663348</c:v>
                </c:pt>
                <c:pt idx="9">
                  <c:v>24.3994585903115</c:v>
                </c:pt>
                <c:pt idx="10">
                  <c:v>29.5857037603144</c:v>
                </c:pt>
                <c:pt idx="11">
                  <c:v>28.4329934117725</c:v>
                </c:pt>
              </c:numCache>
            </c:numRef>
          </c:val>
        </c:ser>
        <c:ser>
          <c:idx val="3"/>
          <c:order val="3"/>
          <c:tx>
            <c:strRef>
              <c:f>'[42]Diagramm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'[42]Diagramm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'[42]Diagramm Kapitel 5'!$I$4:$I$15</c:f>
              <c:numCache>
                <c:formatCode>General</c:formatCode>
                <c:ptCount val="12"/>
                <c:pt idx="0">
                  <c:v>24.1172174918479</c:v>
                </c:pt>
                <c:pt idx="1">
                  <c:v>24.4617089731312</c:v>
                </c:pt>
                <c:pt idx="2">
                  <c:v>31.4835303596984</c:v>
                </c:pt>
                <c:pt idx="3">
                  <c:v>16.99776050226</c:v>
                </c:pt>
                <c:pt idx="4">
                  <c:v>13.918087694182</c:v>
                </c:pt>
                <c:pt idx="5">
                  <c:v>14.508705814381</c:v>
                </c:pt>
                <c:pt idx="6">
                  <c:v>16.5494500719793</c:v>
                </c:pt>
                <c:pt idx="7">
                  <c:v>19.0590654689121</c:v>
                </c:pt>
                <c:pt idx="8">
                  <c:v>21.1096278840777</c:v>
                </c:pt>
                <c:pt idx="9">
                  <c:v>17.6548322213761</c:v>
                </c:pt>
                <c:pt idx="10">
                  <c:v>9.41522266415886</c:v>
                </c:pt>
                <c:pt idx="11">
                  <c:v>9.78691979621301</c:v>
                </c:pt>
              </c:numCache>
            </c:numRef>
          </c:val>
        </c:ser>
        <c:ser>
          <c:idx val="2"/>
          <c:order val="4"/>
          <c:tx>
            <c:strRef>
              <c:f>'[42]Diagramm Kapitel 5'!$H$2</c:f>
              <c:strCache>
                <c:ptCount val="1"/>
                <c:pt idx="0">
                  <c:v>Zuckerrübe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'[42]Diagramm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2.4800668646952</c:v>
                </c:pt>
                <c:pt idx="3">
                  <c:v>9.80785164079441</c:v>
                </c:pt>
                <c:pt idx="4">
                  <c:v>14.1103725095271</c:v>
                </c:pt>
                <c:pt idx="5">
                  <c:v>4.52951835705657</c:v>
                </c:pt>
                <c:pt idx="6">
                  <c:v>0.00460967057844081</c:v>
                </c:pt>
                <c:pt idx="7">
                  <c:v>0.00326865910120294</c:v>
                </c:pt>
                <c:pt idx="8">
                  <c:v>0.00146493938992983</c:v>
                </c:pt>
                <c:pt idx="9">
                  <c:v>0.000161842419829949</c:v>
                </c:pt>
                <c:pt idx="10">
                  <c:v>0.000861512492371847</c:v>
                </c:pt>
                <c:pt idx="11">
                  <c:v>0.0227144492938814</c:v>
                </c:pt>
              </c:numCache>
            </c:numRef>
          </c:val>
        </c:ser>
        <c:ser>
          <c:idx val="5"/>
          <c:order val="5"/>
          <c:tx>
            <c:strRef>
              <c:f>'[42]Diagramm Kapitel 5'!$J$2</c:f>
              <c:strCache>
                <c:ptCount val="1"/>
                <c:pt idx="0">
                  <c:v>Triticale-Ganzpflanzensilage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'[42]Diagramm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'[42]Diagramm Kapitel 5'!$J$4:$J$15</c:f>
              <c:numCache>
                <c:formatCode>General</c:formatCode>
                <c:ptCount val="12"/>
                <c:pt idx="0">
                  <c:v>9.42978563712986</c:v>
                </c:pt>
                <c:pt idx="1">
                  <c:v>6.94021499359754</c:v>
                </c:pt>
                <c:pt idx="2">
                  <c:v>3.42200521929455</c:v>
                </c:pt>
                <c:pt idx="3">
                  <c:v>12.6182982551605</c:v>
                </c:pt>
                <c:pt idx="4">
                  <c:v>10.6864208976163</c:v>
                </c:pt>
                <c:pt idx="5">
                  <c:v>13.1230631860917</c:v>
                </c:pt>
                <c:pt idx="6">
                  <c:v>14.1624056603431</c:v>
                </c:pt>
                <c:pt idx="7">
                  <c:v>14.8682530811728</c:v>
                </c:pt>
                <c:pt idx="8">
                  <c:v>17.8435690623243</c:v>
                </c:pt>
                <c:pt idx="9">
                  <c:v>23.5249730290203</c:v>
                </c:pt>
                <c:pt idx="10">
                  <c:v>25.8561792182545</c:v>
                </c:pt>
                <c:pt idx="11">
                  <c:v>11.9969112497718</c:v>
                </c:pt>
              </c:numCache>
            </c:numRef>
          </c:val>
        </c:ser>
        <c:ser>
          <c:idx val="1"/>
          <c:order val="6"/>
          <c:tx>
            <c:strRef>
              <c:f>'[42]Diagramm Kapitel 5'!$G$2</c:f>
              <c:strCache>
                <c:ptCount val="1"/>
                <c:pt idx="0">
                  <c:v>Getreide insg.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'[42]Diagramm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1.77173403244621</c:v>
                </c:pt>
                <c:pt idx="3">
                  <c:v>1.68304134183923</c:v>
                </c:pt>
                <c:pt idx="4">
                  <c:v>2.50124087800836</c:v>
                </c:pt>
                <c:pt idx="5">
                  <c:v>2.98761752192867</c:v>
                </c:pt>
                <c:pt idx="6">
                  <c:v>4.60967057844081</c:v>
                </c:pt>
                <c:pt idx="7">
                  <c:v>3.26865910120294</c:v>
                </c:pt>
                <c:pt idx="8">
                  <c:v>1.46493938992983</c:v>
                </c:pt>
                <c:pt idx="9">
                  <c:v>0.161842419829949</c:v>
                </c:pt>
                <c:pt idx="10">
                  <c:v>0.861512492371847</c:v>
                </c:pt>
                <c:pt idx="11">
                  <c:v>22.7144492938814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364736"/>
        <c:axId val="257366656"/>
      </c:barChart>
      <c:barChart>
        <c:barDir val="col"/>
        <c:grouping val="stacked"/>
        <c:varyColors val="0"/>
        <c:ser>
          <c:idx val="8"/>
          <c:order val="8"/>
          <c:tx>
            <c:strRef>
              <c:f>'[42]Diagramm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'[42]Diagramm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'[42]Diagramm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'[42]Diagramm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370752"/>
        <c:axId val="257368832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'[42]Diagramm Kapitel 5'!$Z$4:$Z$15</c:f>
              <c:numCache>
                <c:formatCode>General</c:formatCode>
                <c:ptCount val="12"/>
                <c:pt idx="0">
                  <c:v>65.7296666666667</c:v>
                </c:pt>
                <c:pt idx="1">
                  <c:v>59.9567741935484</c:v>
                </c:pt>
                <c:pt idx="2">
                  <c:v>55.4353333333333</c:v>
                </c:pt>
                <c:pt idx="3">
                  <c:v>58.985</c:v>
                </c:pt>
                <c:pt idx="4">
                  <c:v>62.9107096774194</c:v>
                </c:pt>
                <c:pt idx="5">
                  <c:v>54.3971428571429</c:v>
                </c:pt>
                <c:pt idx="6">
                  <c:v>46.0077659677419</c:v>
                </c:pt>
                <c:pt idx="7">
                  <c:v>49.6482895</c:v>
                </c:pt>
                <c:pt idx="8">
                  <c:v>52.05544</c:v>
                </c:pt>
                <c:pt idx="9">
                  <c:v>55.9185905</c:v>
                </c:pt>
                <c:pt idx="10">
                  <c:v>56.7269403225806</c:v>
                </c:pt>
                <c:pt idx="11">
                  <c:v>62.2028387096774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370752"/>
        <c:axId val="257368832"/>
      </c:lineChart>
      <c:dateAx>
        <c:axId val="25736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366656"/>
        <c:crosses val="autoZero"/>
        <c:auto val="0"/>
        <c:lblAlgn val="ctr"/>
        <c:lblOffset val="100"/>
        <c:baseTimeUnit val="days"/>
      </c:dateAx>
      <c:valAx>
        <c:axId val="25736665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364736"/>
        <c:crosses val="autoZero"/>
        <c:crossBetween val="between"/>
      </c:valAx>
      <c:catAx>
        <c:axId val="2573707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368832"/>
        <c:crosses val="autoZero"/>
        <c:auto val="1"/>
        <c:lblAlgn val="ctr"/>
        <c:lblOffset val="100"/>
        <c:noMultiLvlLbl val="0"/>
      </c:catAx>
      <c:valAx>
        <c:axId val="25736883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37075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17406874021982"/>
          <c:w val="0.986108482921111"/>
          <c:h val="0.18259312597801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'[42]Diagramm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'[43]BGA 21_Diagramme'!$C$25:$C$36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'[42]Diagramm Kapitel 5'!$E$28:$E$39</c:f>
              <c:numCache>
                <c:formatCode>General</c:formatCode>
                <c:ptCount val="12"/>
                <c:pt idx="0">
                  <c:v>0.284</c:v>
                </c:pt>
                <c:pt idx="1">
                  <c:v>0.215</c:v>
                </c:pt>
                <c:pt idx="2">
                  <c:v>0.26</c:v>
                </c:pt>
                <c:pt idx="3">
                  <c:v>0.239</c:v>
                </c:pt>
                <c:pt idx="4">
                  <c:v>0.223</c:v>
                </c:pt>
                <c:pt idx="5">
                  <c:v>0.228</c:v>
                </c:pt>
                <c:pt idx="6">
                  <c:v>0.264</c:v>
                </c:pt>
                <c:pt idx="7">
                  <c:v>0.256</c:v>
                </c:pt>
                <c:pt idx="8">
                  <c:v>0.281</c:v>
                </c:pt>
                <c:pt idx="9">
                  <c:v>0.317</c:v>
                </c:pt>
                <c:pt idx="10">
                  <c:v>0.253</c:v>
                </c:pt>
                <c:pt idx="11">
                  <c:v>0.241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7409024"/>
        <c:axId val="257410560"/>
      </c:barChart>
      <c:catAx>
        <c:axId val="25740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7410560"/>
        <c:crosses val="autoZero"/>
        <c:auto val="1"/>
        <c:lblAlgn val="ctr"/>
        <c:lblOffset val="100"/>
        <c:noMultiLvlLbl val="0"/>
      </c:catAx>
      <c:valAx>
        <c:axId val="257410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740902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626734006734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'[42]Diagramm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'[42]Diagramm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'[43]BGA 21_Diagramme'!$H$44:$H$55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'[42]Diagramm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'[42]Diagramm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'[43]BGA 21_Diagramme'!$I$44:$I$55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7501824"/>
        <c:axId val="257503616"/>
      </c:barChart>
      <c:catAx>
        <c:axId val="25750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7503616"/>
        <c:crosses val="autoZero"/>
        <c:auto val="1"/>
        <c:lblAlgn val="ctr"/>
        <c:lblOffset val="100"/>
        <c:noMultiLvlLbl val="0"/>
      </c:catAx>
      <c:valAx>
        <c:axId val="257503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75018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4611928104575"/>
          <c:y val="0.0655463490040075"/>
          <c:w val="0.858759640522876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6968853853853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'[44]Diagramm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'[44]Diagramm Kapitel 5'!$D$4:$D$15</c:f>
              <c:numCache>
                <c:formatCode>General</c:formatCode>
                <c:ptCount val="12"/>
                <c:pt idx="0">
                  <c:v>36.2108922363847</c:v>
                </c:pt>
                <c:pt idx="1">
                  <c:v>36.0972122944961</c:v>
                </c:pt>
                <c:pt idx="2">
                  <c:v>36.9889682024659</c:v>
                </c:pt>
                <c:pt idx="3">
                  <c:v>36.9127516778523</c:v>
                </c:pt>
                <c:pt idx="4">
                  <c:v>36.8958573072497</c:v>
                </c:pt>
                <c:pt idx="5">
                  <c:v>36.7804717136731</c:v>
                </c:pt>
                <c:pt idx="6">
                  <c:v>38.3046897757064</c:v>
                </c:pt>
                <c:pt idx="7">
                  <c:v>32.9411764705882</c:v>
                </c:pt>
                <c:pt idx="8">
                  <c:v>42.2608695652174</c:v>
                </c:pt>
                <c:pt idx="9">
                  <c:v>42.0408163265306</c:v>
                </c:pt>
                <c:pt idx="10">
                  <c:v>38.6651692603883</c:v>
                </c:pt>
                <c:pt idx="11">
                  <c:v>39.5348837209302</c:v>
                </c:pt>
              </c:numCache>
            </c:numRef>
          </c:val>
        </c:ser>
        <c:ser>
          <c:idx val="6"/>
          <c:order val="1"/>
          <c:tx>
            <c:strRef>
              <c:f>'[44]Diagramm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'[44]Diagramm Kapitel 5'!$E$4:$E$15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2"/>
          <c:tx>
            <c:strRef>
              <c:f>'[44]Diagramm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'[44]Diagramm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'[44]Diagramm Kapitel 5'!$F$4:$F$15</c:f>
              <c:numCache>
                <c:formatCode>General</c:formatCode>
                <c:ptCount val="12"/>
                <c:pt idx="0">
                  <c:v>3.33140208574739</c:v>
                </c:pt>
                <c:pt idx="1">
                  <c:v>13.0807719799857</c:v>
                </c:pt>
                <c:pt idx="2">
                  <c:v>18.7378325762492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13.035246140402</c:v>
                </c:pt>
                <c:pt idx="7">
                  <c:v>27.3356401384083</c:v>
                </c:pt>
                <c:pt idx="8">
                  <c:v>26.8695652173913</c:v>
                </c:pt>
                <c:pt idx="9">
                  <c:v>10.9183673469388</c:v>
                </c:pt>
                <c:pt idx="10">
                  <c:v>0</c:v>
                </c:pt>
                <c:pt idx="11">
                  <c:v>0.750187546886722</c:v>
                </c:pt>
              </c:numCache>
            </c:numRef>
          </c:val>
        </c:ser>
        <c:ser>
          <c:idx val="3"/>
          <c:order val="3"/>
          <c:tx>
            <c:strRef>
              <c:f>'[44]Diagramm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'[44]Diagramm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'[44]Diagramm Kapitel 5'!$I$4:$I$15</c:f>
              <c:numCache>
                <c:formatCode>General</c:formatCode>
                <c:ptCount val="12"/>
                <c:pt idx="0">
                  <c:v>29.837775202781</c:v>
                </c:pt>
                <c:pt idx="1">
                  <c:v>21.4438884917798</c:v>
                </c:pt>
                <c:pt idx="2">
                  <c:v>15.8176508760545</c:v>
                </c:pt>
                <c:pt idx="3">
                  <c:v>20.7054119663002</c:v>
                </c:pt>
                <c:pt idx="4">
                  <c:v>17.4050632911392</c:v>
                </c:pt>
                <c:pt idx="5">
                  <c:v>17.4830941777998</c:v>
                </c:pt>
                <c:pt idx="6">
                  <c:v>17.1861345761725</c:v>
                </c:pt>
                <c:pt idx="7">
                  <c:v>16.0553633217993</c:v>
                </c:pt>
                <c:pt idx="8">
                  <c:v>24.1739130434783</c:v>
                </c:pt>
                <c:pt idx="9">
                  <c:v>32.2448979591837</c:v>
                </c:pt>
                <c:pt idx="10">
                  <c:v>29.4400770094657</c:v>
                </c:pt>
                <c:pt idx="11">
                  <c:v>27.906976744186</c:v>
                </c:pt>
              </c:numCache>
            </c:numRef>
          </c:val>
        </c:ser>
        <c:ser>
          <c:idx val="2"/>
          <c:order val="4"/>
          <c:tx>
            <c:strRef>
              <c:f>'[44]Diagramm Kapitel 5'!$H$2</c:f>
              <c:strCache>
                <c:ptCount val="1"/>
                <c:pt idx="0">
                  <c:v>Zuckerhirse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'[44]Diagramm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'[44]Diagramm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17.4925032129088</c:v>
                </c:pt>
                <c:pt idx="4">
                  <c:v>21.5765247410817</c:v>
                </c:pt>
                <c:pt idx="5">
                  <c:v>18.1428335807356</c:v>
                </c:pt>
                <c:pt idx="6">
                  <c:v>5.68016312263327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'[44]Diagramm Kapitel 5'!$J$2</c:f>
              <c:strCache>
                <c:ptCount val="1"/>
                <c:pt idx="0">
                  <c:v>Triticale-Ganzpflanzensilage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'[44]Diagramm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'[44]Diagramm Kapitel 5'!$J$4:$J$15</c:f>
              <c:numCache>
                <c:formatCode>General</c:formatCode>
                <c:ptCount val="12"/>
                <c:pt idx="0">
                  <c:v>26.3615295480881</c:v>
                </c:pt>
                <c:pt idx="1">
                  <c:v>24.4746247319514</c:v>
                </c:pt>
                <c:pt idx="2">
                  <c:v>21.0090850097339</c:v>
                </c:pt>
                <c:pt idx="3">
                  <c:v>17.7066971298015</c:v>
                </c:pt>
                <c:pt idx="4">
                  <c:v>17.5489067894131</c:v>
                </c:pt>
                <c:pt idx="5">
                  <c:v>20.9467260432129</c:v>
                </c:pt>
                <c:pt idx="6">
                  <c:v>20.9729099912613</c:v>
                </c:pt>
                <c:pt idx="7">
                  <c:v>19.6539792387543</c:v>
                </c:pt>
                <c:pt idx="8">
                  <c:v>5.56521739130435</c:v>
                </c:pt>
                <c:pt idx="9">
                  <c:v>14.4897959183674</c:v>
                </c:pt>
                <c:pt idx="10">
                  <c:v>27.1939675918498</c:v>
                </c:pt>
                <c:pt idx="11">
                  <c:v>27.1567891972993</c:v>
                </c:pt>
              </c:numCache>
            </c:numRef>
          </c:val>
        </c:ser>
        <c:ser>
          <c:idx val="1"/>
          <c:order val="6"/>
          <c:tx>
            <c:strRef>
              <c:f>'[44]Diagramm Kapitel 5'!$G$2</c:f>
              <c:strCache>
                <c:ptCount val="1"/>
                <c:pt idx="0">
                  <c:v>Weizen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'[44]Diagramm Kapitel 5'!$G$4:$G$15</c:f>
              <c:numCache>
                <c:formatCode>General</c:formatCode>
                <c:ptCount val="12"/>
                <c:pt idx="0">
                  <c:v>4.25840092699884</c:v>
                </c:pt>
                <c:pt idx="1">
                  <c:v>4.90350250178699</c:v>
                </c:pt>
                <c:pt idx="2">
                  <c:v>7.44646333549643</c:v>
                </c:pt>
                <c:pt idx="3">
                  <c:v>7.18263601313723</c:v>
                </c:pt>
                <c:pt idx="4">
                  <c:v>6.57364787111623</c:v>
                </c:pt>
                <c:pt idx="5">
                  <c:v>6.64687448457859</c:v>
                </c:pt>
                <c:pt idx="6">
                  <c:v>4.82085639382464</c:v>
                </c:pt>
                <c:pt idx="7">
                  <c:v>4.01384083044983</c:v>
                </c:pt>
                <c:pt idx="8">
                  <c:v>1.1304347826087</c:v>
                </c:pt>
                <c:pt idx="9">
                  <c:v>0.306122448979592</c:v>
                </c:pt>
                <c:pt idx="10">
                  <c:v>4.70078613829617</c:v>
                </c:pt>
                <c:pt idx="11">
                  <c:v>4.65116279069767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3307520"/>
        <c:axId val="253309696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'[44]Diagramm Kapitel 5'!$Z$4:$Z$15</c:f>
              <c:numCache>
                <c:formatCode>General</c:formatCode>
                <c:ptCount val="12"/>
                <c:pt idx="0">
                  <c:v>23.0133333333333</c:v>
                </c:pt>
                <c:pt idx="1">
                  <c:v>22.5645161290323</c:v>
                </c:pt>
                <c:pt idx="2">
                  <c:v>20.5466666666667</c:v>
                </c:pt>
                <c:pt idx="3">
                  <c:v>22.5903225806452</c:v>
                </c:pt>
                <c:pt idx="4">
                  <c:v>22.4258064516129</c:v>
                </c:pt>
                <c:pt idx="5">
                  <c:v>21.6535714285714</c:v>
                </c:pt>
                <c:pt idx="6">
                  <c:v>22.1483870967742</c:v>
                </c:pt>
                <c:pt idx="7">
                  <c:v>24.0833333333333</c:v>
                </c:pt>
                <c:pt idx="8">
                  <c:v>18.5483870967742</c:v>
                </c:pt>
                <c:pt idx="9">
                  <c:v>16.3333333333333</c:v>
                </c:pt>
                <c:pt idx="10">
                  <c:v>20.1064516129032</c:v>
                </c:pt>
                <c:pt idx="11">
                  <c:v>21.5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321984"/>
        <c:axId val="253311616"/>
      </c:lineChart>
      <c:dateAx>
        <c:axId val="25330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309696"/>
        <c:crosses val="autoZero"/>
        <c:auto val="0"/>
        <c:lblAlgn val="ctr"/>
        <c:lblOffset val="100"/>
        <c:baseTimeUnit val="days"/>
      </c:dateAx>
      <c:valAx>
        <c:axId val="25330969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307520"/>
        <c:crosses val="autoZero"/>
        <c:crossBetween val="between"/>
      </c:valAx>
      <c:catAx>
        <c:axId val="25332198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311616"/>
        <c:crosses val="autoZero"/>
        <c:auto val="1"/>
        <c:lblAlgn val="ctr"/>
        <c:lblOffset val="100"/>
        <c:noMultiLvlLbl val="0"/>
      </c:catAx>
      <c:valAx>
        <c:axId val="25331161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3321984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0138915032679739"/>
          <c:y val="0.829952952952953"/>
          <c:w val="0.986108482921111"/>
          <c:h val="0.17004704704704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'[44]Diagramm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'[45]BGA 22_Diagramme'!$B$26:$B$37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'[44]Diagramm Kapitel 5'!$E$28:$E$39</c:f>
              <c:numCache>
                <c:formatCode>General</c:formatCode>
                <c:ptCount val="12"/>
                <c:pt idx="0">
                  <c:v>0.266</c:v>
                </c:pt>
                <c:pt idx="1">
                  <c:v>0.211</c:v>
                </c:pt>
                <c:pt idx="2">
                  <c:v>0.107</c:v>
                </c:pt>
                <c:pt idx="3">
                  <c:v>0.216</c:v>
                </c:pt>
                <c:pt idx="4">
                  <c:v>0.159</c:v>
                </c:pt>
                <c:pt idx="5">
                  <c:v>0.231</c:v>
                </c:pt>
                <c:pt idx="6">
                  <c:v>0.237</c:v>
                </c:pt>
                <c:pt idx="7">
                  <c:v>0.243</c:v>
                </c:pt>
                <c:pt idx="8">
                  <c:v>0</c:v>
                </c:pt>
                <c:pt idx="9">
                  <c:v>0</c:v>
                </c:pt>
                <c:pt idx="10">
                  <c:v>0.299</c:v>
                </c:pt>
                <c:pt idx="11">
                  <c:v>0.216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3343232"/>
        <c:axId val="253344768"/>
      </c:barChart>
      <c:catAx>
        <c:axId val="25334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3344768"/>
        <c:crosses val="autoZero"/>
        <c:auto val="1"/>
        <c:lblAlgn val="ctr"/>
        <c:lblOffset val="100"/>
        <c:noMultiLvlLbl val="0"/>
      </c:catAx>
      <c:valAx>
        <c:axId val="253344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3343232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284646464646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'[44]Diagramm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'[44]Diagramm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'[44]Diagramm Kapitel 5'!$H$49:$H$60</c:f>
              <c:numCache>
                <c:formatCode>General</c:formatCode>
                <c:ptCount val="12"/>
                <c:pt idx="0">
                  <c:v>92.9765168128655</c:v>
                </c:pt>
                <c:pt idx="1">
                  <c:v>91.4134457236842</c:v>
                </c:pt>
                <c:pt idx="2">
                  <c:v>89.7773665935673</c:v>
                </c:pt>
                <c:pt idx="3">
                  <c:v>90.0907574926901</c:v>
                </c:pt>
                <c:pt idx="4">
                  <c:v>87.5649899488304</c:v>
                </c:pt>
                <c:pt idx="5">
                  <c:v>88.3540981359649</c:v>
                </c:pt>
                <c:pt idx="6">
                  <c:v>91.5140259502924</c:v>
                </c:pt>
                <c:pt idx="7">
                  <c:v>87.6247944078947</c:v>
                </c:pt>
                <c:pt idx="8">
                  <c:v>76.7186357821637</c:v>
                </c:pt>
                <c:pt idx="9">
                  <c:v>73.4037600511696</c:v>
                </c:pt>
                <c:pt idx="10">
                  <c:v>83.7479897660819</c:v>
                </c:pt>
                <c:pt idx="11">
                  <c:v>86.9048108552632</c:v>
                </c:pt>
              </c:numCache>
            </c:numRef>
          </c:val>
        </c:ser>
        <c:ser>
          <c:idx val="1"/>
          <c:order val="1"/>
          <c:tx>
            <c:strRef>
              <c:f>'[44]Diagramm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'[44]Diagramm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'[44]Diagramm Kapitel 5'!$I$49:$I$60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680896"/>
        <c:axId val="255682432"/>
      </c:barChart>
      <c:catAx>
        <c:axId val="25568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682432"/>
        <c:crosses val="autoZero"/>
        <c:auto val="1"/>
        <c:lblAlgn val="ctr"/>
        <c:lblOffset val="100"/>
        <c:noMultiLvlLbl val="0"/>
      </c:catAx>
      <c:valAx>
        <c:axId val="255682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56808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4611928104575"/>
          <c:y val="0.039889898989899"/>
          <c:w val="0.846308660130719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56773529411765"/>
          <c:h val="0.6716156156156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'[46]Diagramm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'[46]Diagramm Kapitel 5'!$AJ$3:$AJ$14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'[46]Diagramm Kapitel 5'!$D$4:$D$15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0.266674285931979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1"/>
          <c:tx>
            <c:strRef>
              <c:f>'[46]Diagramm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'[46]Diagramm Kapitel 5'!$AJ$3:$AJ$14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'[46]Diagramm Kapitel 5'!$E$4:$E$15</c:f>
              <c:numCache>
                <c:formatCode>General</c:formatCode>
                <c:ptCount val="12"/>
                <c:pt idx="0">
                  <c:v>37.9541432320048</c:v>
                </c:pt>
                <c:pt idx="1">
                  <c:v>36.358972757647</c:v>
                </c:pt>
                <c:pt idx="2">
                  <c:v>35.5909595840715</c:v>
                </c:pt>
                <c:pt idx="3">
                  <c:v>33.855062525596</c:v>
                </c:pt>
                <c:pt idx="4">
                  <c:v>30.9627474044714</c:v>
                </c:pt>
                <c:pt idx="5">
                  <c:v>34.9294844715978</c:v>
                </c:pt>
                <c:pt idx="6">
                  <c:v>36.6231996813496</c:v>
                </c:pt>
                <c:pt idx="7">
                  <c:v>36.6099744139638</c:v>
                </c:pt>
                <c:pt idx="8">
                  <c:v>35.9766273319774</c:v>
                </c:pt>
                <c:pt idx="9">
                  <c:v>40.088015470066</c:v>
                </c:pt>
                <c:pt idx="10">
                  <c:v>39.1427336063852</c:v>
                </c:pt>
                <c:pt idx="11">
                  <c:v>37.8072943359165</c:v>
                </c:pt>
              </c:numCache>
            </c:numRef>
          </c:val>
        </c:ser>
        <c:ser>
          <c:idx val="4"/>
          <c:order val="2"/>
          <c:tx>
            <c:strRef>
              <c:f>'[46]Diagramm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'[46]Diagramm Kapitel 5'!$AJ$3:$AJ$14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'[46]Diagramm Kapitel 5'!$F$4:$F$15</c:f>
              <c:numCache>
                <c:formatCode>General</c:formatCode>
                <c:ptCount val="12"/>
                <c:pt idx="0">
                  <c:v>21.2571249593278</c:v>
                </c:pt>
                <c:pt idx="1">
                  <c:v>22.2263608909191</c:v>
                </c:pt>
                <c:pt idx="2">
                  <c:v>28.269676284394</c:v>
                </c:pt>
                <c:pt idx="3">
                  <c:v>30.4749659514081</c:v>
                </c:pt>
                <c:pt idx="4">
                  <c:v>31.5609222186915</c:v>
                </c:pt>
                <c:pt idx="5">
                  <c:v>30.3017502098579</c:v>
                </c:pt>
                <c:pt idx="6">
                  <c:v>29.8261941012459</c:v>
                </c:pt>
                <c:pt idx="7">
                  <c:v>30.1875895304258</c:v>
                </c:pt>
                <c:pt idx="8">
                  <c:v>32.5510343517509</c:v>
                </c:pt>
                <c:pt idx="9">
                  <c:v>29.0639094473493</c:v>
                </c:pt>
                <c:pt idx="10">
                  <c:v>23.7760219117756</c:v>
                </c:pt>
                <c:pt idx="11">
                  <c:v>24.0180275261226</c:v>
                </c:pt>
              </c:numCache>
            </c:numRef>
          </c:val>
        </c:ser>
        <c:ser>
          <c:idx val="3"/>
          <c:order val="3"/>
          <c:tx>
            <c:strRef>
              <c:f>'[46]Diagramm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'[46]Diagramm Kapitel 5'!$AJ$3:$AJ$14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'[46]Diagramm Kapitel 5'!$I$4:$I$15</c:f>
              <c:numCache>
                <c:formatCode>General</c:formatCode>
                <c:ptCount val="12"/>
                <c:pt idx="0">
                  <c:v>31.2928855142435</c:v>
                </c:pt>
                <c:pt idx="1">
                  <c:v>26.5988767603592</c:v>
                </c:pt>
                <c:pt idx="2">
                  <c:v>26.2459891723138</c:v>
                </c:pt>
                <c:pt idx="3">
                  <c:v>28.565768545768</c:v>
                </c:pt>
                <c:pt idx="4">
                  <c:v>30.518065102381</c:v>
                </c:pt>
                <c:pt idx="5">
                  <c:v>27.9964077097412</c:v>
                </c:pt>
                <c:pt idx="6">
                  <c:v>26.2519869115112</c:v>
                </c:pt>
                <c:pt idx="7">
                  <c:v>24.8998087257492</c:v>
                </c:pt>
                <c:pt idx="8">
                  <c:v>20.5491630781778</c:v>
                </c:pt>
                <c:pt idx="9">
                  <c:v>23.7925237369527</c:v>
                </c:pt>
                <c:pt idx="10">
                  <c:v>32.3205402756426</c:v>
                </c:pt>
                <c:pt idx="11">
                  <c:v>33.1218733153041</c:v>
                </c:pt>
              </c:numCache>
            </c:numRef>
          </c:val>
        </c:ser>
        <c:ser>
          <c:idx val="2"/>
          <c:order val="4"/>
          <c:tx>
            <c:strRef>
              <c:f>'[46]Diagramm Kapitel 5'!$G$2</c:f>
              <c:strCache>
                <c:ptCount val="1"/>
                <c:pt idx="0">
                  <c:v>Getreide insg.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'[46]Diagramm Kapitel 5'!$AJ$3:$AJ$14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'[46]Diagramm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0.392465115760485</c:v>
                </c:pt>
                <c:pt idx="5">
                  <c:v>0.241295917624918</c:v>
                </c:pt>
                <c:pt idx="6">
                  <c:v>0.789366905778515</c:v>
                </c:pt>
                <c:pt idx="7">
                  <c:v>2.5579825948712</c:v>
                </c:pt>
                <c:pt idx="8">
                  <c:v>5.32811048198983</c:v>
                </c:pt>
                <c:pt idx="9">
                  <c:v>3.15519743138526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'[46]Diagramm Kapitel 5'!$J$2</c:f>
              <c:strCache>
                <c:ptCount val="1"/>
                <c:pt idx="0">
                  <c:v>Anwelksilage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'[46]Diagramm Kapitel 5'!$AJ$3:$AJ$14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'[46]Diagramm Kapitel 5'!$J$4:$J$15</c:f>
              <c:numCache>
                <c:formatCode>General</c:formatCode>
                <c:ptCount val="12"/>
                <c:pt idx="0">
                  <c:v>1.46320325828712</c:v>
                </c:pt>
                <c:pt idx="1">
                  <c:v>0.37649493917644</c:v>
                </c:pt>
                <c:pt idx="2">
                  <c:v>1.09164715453198</c:v>
                </c:pt>
                <c:pt idx="3">
                  <c:v>0.171242987894892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0.111983968610809</c:v>
                </c:pt>
                <c:pt idx="10">
                  <c:v>0</c:v>
                </c:pt>
                <c:pt idx="11">
                  <c:v>0.105582193943087</c:v>
                </c:pt>
              </c:numCache>
            </c:numRef>
          </c:val>
        </c:ser>
        <c:ser>
          <c:idx val="1"/>
          <c:order val="6"/>
          <c:tx>
            <c:strRef>
              <c:f>'[46]Diagramm Kapitel 5'!$R$2</c:f>
              <c:strCache>
                <c:ptCount val="1"/>
                <c:pt idx="0">
                  <c:v>Roggen-Ganzpflanzensilage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'[46]Diagramm Kapitel 5'!$AJ$3:$AJ$14</c:f>
              <c:strCache>
                <c:ptCount val="12"/>
                <c:pt idx="0">
                  <c:v>Okt</c:v>
                </c:pt>
                <c:pt idx="1">
                  <c:v>Nov</c:v>
                </c:pt>
                <c:pt idx="2">
                  <c:v>Dez</c:v>
                </c:pt>
                <c:pt idx="3">
                  <c:v>Jan</c:v>
                </c:pt>
                <c:pt idx="4">
                  <c:v>Feb</c:v>
                </c:pt>
                <c:pt idx="5">
                  <c:v>Mrz</c:v>
                </c:pt>
                <c:pt idx="6">
                  <c:v>Apr</c:v>
                </c:pt>
                <c:pt idx="7">
                  <c:v>Mai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'[46]Diagramm Kapitel 5'!$R$4:$R$15</c:f>
              <c:numCache>
                <c:formatCode>General</c:formatCode>
                <c:ptCount val="12"/>
                <c:pt idx="0">
                  <c:v>8.03264303613681</c:v>
                </c:pt>
                <c:pt idx="1">
                  <c:v>14.4392946518983</c:v>
                </c:pt>
                <c:pt idx="2">
                  <c:v>8.8017278046887</c:v>
                </c:pt>
                <c:pt idx="3">
                  <c:v>6.66628570340105</c:v>
                </c:pt>
                <c:pt idx="4">
                  <c:v>6.56580015869565</c:v>
                </c:pt>
                <c:pt idx="5">
                  <c:v>6.53106169117815</c:v>
                </c:pt>
                <c:pt idx="6">
                  <c:v>6.50925240011465</c:v>
                </c:pt>
                <c:pt idx="7">
                  <c:v>5.74464473498994</c:v>
                </c:pt>
                <c:pt idx="8">
                  <c:v>5.59506475610403</c:v>
                </c:pt>
                <c:pt idx="9">
                  <c:v>3.78836994563585</c:v>
                </c:pt>
                <c:pt idx="10">
                  <c:v>4.76070420619665</c:v>
                </c:pt>
                <c:pt idx="11">
                  <c:v>4.94722262871367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941504"/>
        <c:axId val="257943424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'[46]Diagramm Kapitel 5'!$Z$4:$Z$15</c:f>
              <c:numCache>
                <c:formatCode>General</c:formatCode>
                <c:ptCount val="12"/>
                <c:pt idx="0">
                  <c:v>150.696766666667</c:v>
                </c:pt>
                <c:pt idx="1">
                  <c:v>144.627741935484</c:v>
                </c:pt>
                <c:pt idx="2">
                  <c:v>161.438</c:v>
                </c:pt>
                <c:pt idx="3">
                  <c:v>169.35</c:v>
                </c:pt>
                <c:pt idx="4">
                  <c:v>173.592580645161</c:v>
                </c:pt>
                <c:pt idx="5">
                  <c:v>164.439464285714</c:v>
                </c:pt>
                <c:pt idx="6">
                  <c:v>173.311612903226</c:v>
                </c:pt>
                <c:pt idx="7">
                  <c:v>161.025333333333</c:v>
                </c:pt>
                <c:pt idx="8">
                  <c:v>134.322870967742</c:v>
                </c:pt>
                <c:pt idx="9">
                  <c:v>118.767</c:v>
                </c:pt>
                <c:pt idx="10">
                  <c:v>129.740225806452</c:v>
                </c:pt>
                <c:pt idx="11">
                  <c:v>152.762806451613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558400"/>
        <c:axId val="257556480"/>
      </c:lineChart>
      <c:dateAx>
        <c:axId val="25794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943424"/>
        <c:crosses val="autoZero"/>
        <c:auto val="0"/>
        <c:lblAlgn val="ctr"/>
        <c:lblOffset val="100"/>
        <c:baseTimeUnit val="days"/>
      </c:dateAx>
      <c:valAx>
        <c:axId val="2579434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941504"/>
        <c:crosses val="autoZero"/>
        <c:crossBetween val="between"/>
      </c:valAx>
      <c:catAx>
        <c:axId val="25755840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556480"/>
        <c:crosses val="autoZero"/>
        <c:auto val="1"/>
        <c:lblAlgn val="ctr"/>
        <c:lblOffset val="100"/>
        <c:noMultiLvlLbl val="0"/>
      </c:catAx>
      <c:valAx>
        <c:axId val="257556480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558400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"/>
          <c:y val="0.817406874021983"/>
          <c:w val="1"/>
          <c:h val="0.18259312597801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062756721274"/>
          <c:y val="0.0556740803953989"/>
          <c:w val="0.848030808349962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'[46]Diagramm Kapitel 5'!$E$25</c:f>
              <c:strCache>
                <c:ptCount val="1"/>
                <c:pt idx="0">
                  <c:v>Fermenter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'[47]BGA 23_Diagramme'!$B$32:$B$43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'[46]Diagramm Kapitel 5'!$E$28:$E$39</c:f>
              <c:numCache>
                <c:formatCode>General</c:formatCode>
                <c:ptCount val="12"/>
                <c:pt idx="0">
                  <c:v>0.358</c:v>
                </c:pt>
                <c:pt idx="1">
                  <c:v>0.357</c:v>
                </c:pt>
                <c:pt idx="2">
                  <c:v>0.296</c:v>
                </c:pt>
                <c:pt idx="3">
                  <c:v>0.373</c:v>
                </c:pt>
                <c:pt idx="4">
                  <c:v>0.339</c:v>
                </c:pt>
                <c:pt idx="5">
                  <c:v>0.447</c:v>
                </c:pt>
                <c:pt idx="6">
                  <c:v>1.318</c:v>
                </c:pt>
                <c:pt idx="7">
                  <c:v>0.454</c:v>
                </c:pt>
                <c:pt idx="8">
                  <c:v>0.36</c:v>
                </c:pt>
                <c:pt idx="9">
                  <c:v>0.368</c:v>
                </c:pt>
                <c:pt idx="10">
                  <c:v>0.411</c:v>
                </c:pt>
                <c:pt idx="11">
                  <c:v>0.555</c:v>
                </c:pt>
              </c:numCache>
            </c:numRef>
          </c:val>
        </c:ser>
        <c:ser>
          <c:idx val="0"/>
          <c:order val="1"/>
          <c:tx>
            <c:strRef>
              <c:f>'[46]Diagramm Kapitel 5'!$F$25</c:f>
              <c:strCache>
                <c:ptCount val="1"/>
                <c:pt idx="0">
                  <c:v>Fermenter 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'[47]BGA 23_Diagramme'!$B$32:$B$43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'[46]Diagramm Kapitel 5'!$F$28:$F$39</c:f>
              <c:numCache>
                <c:formatCode>General</c:formatCode>
                <c:ptCount val="12"/>
                <c:pt idx="0">
                  <c:v>0.362</c:v>
                </c:pt>
                <c:pt idx="1">
                  <c:v>0.298</c:v>
                </c:pt>
                <c:pt idx="2">
                  <c:v>0.319</c:v>
                </c:pt>
                <c:pt idx="3">
                  <c:v>0.326</c:v>
                </c:pt>
                <c:pt idx="4">
                  <c:v>0.375</c:v>
                </c:pt>
                <c:pt idx="5">
                  <c:v>0.502</c:v>
                </c:pt>
                <c:pt idx="6">
                  <c:v>1.316</c:v>
                </c:pt>
                <c:pt idx="7">
                  <c:v>0.632</c:v>
                </c:pt>
                <c:pt idx="8">
                  <c:v>0.315</c:v>
                </c:pt>
                <c:pt idx="9">
                  <c:v>0.33</c:v>
                </c:pt>
                <c:pt idx="10">
                  <c:v>0.375</c:v>
                </c:pt>
                <c:pt idx="11">
                  <c:v>0.339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7597440"/>
        <c:axId val="257598976"/>
      </c:barChart>
      <c:catAx>
        <c:axId val="25759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7598976"/>
        <c:crosses val="autoZero"/>
        <c:auto val="1"/>
        <c:lblAlgn val="ctr"/>
        <c:lblOffset val="100"/>
        <c:noMultiLvlLbl val="0"/>
      </c:catAx>
      <c:valAx>
        <c:axId val="257598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7597440"/>
        <c:crosses val="autoZero"/>
        <c:crossBetween val="between"/>
        <c:majorUnit val="0.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8005841588332"/>
          <c:y val="0.112205450957384"/>
          <c:w val="0.218422405193452"/>
          <c:h val="0.1524091951570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4129292929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'[46]Diagramm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'[46]Diagramm Kapitel 5'!$K$50:$K$61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'[46]Diagramm Kapitel 5'!$L$50:$L$61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'[46]Diagramm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'[46]Diagramm Kapitel 5'!$K$50:$K$61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'[46]Diagramm Kapitel 5'!$M$50:$M$61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7620992"/>
        <c:axId val="257696512"/>
      </c:barChart>
      <c:catAx>
        <c:axId val="25762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7696512"/>
        <c:crosses val="autoZero"/>
        <c:auto val="1"/>
        <c:lblAlgn val="ctr"/>
        <c:lblOffset val="100"/>
        <c:noMultiLvlLbl val="0"/>
      </c:catAx>
      <c:valAx>
        <c:axId val="257696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76209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8386437908497"/>
          <c:y val="0.0484420875420875"/>
          <c:w val="0.864985130718954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'[49]BGA 24_Diagramme'!$C$27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'[49]BGA 24_Diagramme'!$B$30:$B$41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'[49]BGA 24_Diagramme'!$C$30:$C$41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'[49]BGA 24_Diagramme'!$D$27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'[49]BGA 24_Diagramme'!$B$30:$B$41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'[49]BGA 24_Diagramme'!$D$30:$D$41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6989824"/>
        <c:axId val="257003904"/>
      </c:barChart>
      <c:catAx>
        <c:axId val="25698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7003904"/>
        <c:crosses val="autoZero"/>
        <c:auto val="1"/>
        <c:lblAlgn val="ctr"/>
        <c:lblOffset val="100"/>
        <c:noMultiLvlLbl val="1"/>
      </c:catAx>
      <c:valAx>
        <c:axId val="257003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698982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03140891150997"/>
          <c:y val="0.0670474869770832"/>
          <c:w val="0.334613747108695"/>
          <c:h val="0.08918804558465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73323529411765"/>
          <c:y val="0.0413201755349934"/>
          <c:w val="0.882368300653595"/>
          <c:h val="0.8542801673296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'[49]BGA 24_Diagramme'!$G$46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'[48]Diagramm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'[49]BGA 24_Diagramme'!$G$48:$G$59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'[48]Diagramm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'[48]Diagramm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'[48]Diagramm Kapitel 5'!$I$49:$I$60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7111936"/>
        <c:axId val="257113472"/>
      </c:barChart>
      <c:catAx>
        <c:axId val="25711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7113472"/>
        <c:crosses val="autoZero"/>
        <c:auto val="1"/>
        <c:lblAlgn val="ctr"/>
        <c:lblOffset val="100"/>
        <c:noMultiLvlLbl val="0"/>
      </c:catAx>
      <c:valAx>
        <c:axId val="257113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7111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111274509804"/>
          <c:y val="0.0420978478478478"/>
          <c:w val="0.767149346405229"/>
          <c:h val="0.7002192192192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'[49]BGA 24_Diagramme'!$C$2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'[49]BGA 24_Diagramme'!$B$4:$B$15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'[49]BGA 24_Diagramme'!$C$4:$C$15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1"/>
          <c:tx>
            <c:strRef>
              <c:f>'[49]BGA 24_Diagramme'!$H$2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'[49]BGA 24_Diagramme'!$B$4:$B$15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'[49]BGA 24_Diagramme'!$H$4:$H$15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2"/>
          <c:tx>
            <c:strRef>
              <c:f>'[49]BGA 24_Diagramme'!$D$2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'[49]BGA 24_Diagramme'!$B$4:$B$15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'[49]BGA 24_Diagramme'!$D$4:$D$15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3"/>
          <c:tx>
            <c:strRef>
              <c:f>'[49]BGA 24_Diagramme'!$E$2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'[49]BGA 24_Diagramme'!$B$4:$B$15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'[49]BGA 24_Diagramme'!$E$4:$E$15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4"/>
          <c:tx>
            <c:strRef>
              <c:f>'[49]BGA 24_Diagramme'!$F$2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'[49]BGA 24_Diagramme'!$B$4:$B$15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'[49]BGA 24_Diagramme'!$F$4:$F$15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5"/>
          <c:tx>
            <c:strRef>
              <c:f>'[49]BGA 24_Diagramme'!$I$2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'[49]BGA 24_Diagramme'!$B$4:$B$15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'[49]BGA 24_Diagramme'!$I$4:$I$15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6"/>
          <c:tx>
            <c:strRef>
              <c:f>'[49]BGA 24_Diagramme'!$G$2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'[49]BGA 24_Diagramme'!$B$4:$B$15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'[49]BGA 24_Diagramme'!$G$4:$G$15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188608"/>
        <c:axId val="257190528"/>
      </c:barChart>
      <c:lineChart>
        <c:grouping val="stacked"/>
        <c:varyColors val="0"/>
        <c:ser>
          <c:idx val="7"/>
          <c:order val="7"/>
          <c:tx>
            <c:strRef>
              <c:f>'[49]BGA 24_Diagramme'!$K$2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'[49]BGA 24_Diagramme'!$K$4:$K$15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202816"/>
        <c:axId val="257200896"/>
      </c:lineChart>
      <c:dateAx>
        <c:axId val="25718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190528"/>
        <c:crosses val="autoZero"/>
        <c:auto val="0"/>
        <c:lblAlgn val="ctr"/>
        <c:lblOffset val="100"/>
        <c:baseTimeUnit val="days"/>
      </c:dateAx>
      <c:valAx>
        <c:axId val="2571905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188608"/>
        <c:crosses val="autoZero"/>
        <c:crossBetween val="between"/>
      </c:valAx>
      <c:catAx>
        <c:axId val="25720281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200896"/>
        <c:crosses val="autoZero"/>
        <c:auto val="1"/>
        <c:lblAlgn val="ctr"/>
        <c:lblOffset val="100"/>
        <c:noMultiLvlLbl val="0"/>
      </c:catAx>
      <c:valAx>
        <c:axId val="25720089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2972222222222"/>
              <c:y val="0.046862612612612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20281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"/>
          <c:y val="0.817406874021983"/>
          <c:w val="0.987387254901961"/>
          <c:h val="0.1825930930930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580018608467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'[50]BGA 25_Diagramme'!$L$40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'[50]BGA 25_Diagramme'!$K$41:$K$52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'[50]BGA 25_Diagramme'!$L$41:$L$52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90272"/>
        <c:axId val="36791808"/>
      </c:barChart>
      <c:catAx>
        <c:axId val="3679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6791808"/>
        <c:crosses val="autoZero"/>
        <c:auto val="1"/>
        <c:lblAlgn val="ctr"/>
        <c:lblOffset val="100"/>
        <c:noMultiLvlLbl val="0"/>
      </c:catAx>
      <c:valAx>
        <c:axId val="3679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 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67902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86315891"/>
          <c:y val="0.0928375758255871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'[50]BGA 25_Diagramme'!$K$5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'[50]BGA 25_Diagramme'!$L$4:$W$4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'[50]BGA 25_Diagramme'!$L$5:$W$5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1"/>
          <c:tx>
            <c:strRef>
              <c:f>'[50]BGA 25_Diagramme'!$K$6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'[50]BGA 25_Diagramme'!$L$4:$W$4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'[50]BGA 25_Diagramme'!$L$6:$W$6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2"/>
          <c:tx>
            <c:strRef>
              <c:f>'[50]BGA 25_Diagramme'!$K$8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</c:spPr>
          <c:invertIfNegative val="0"/>
          <c:dLbls>
            <c:delete val="1"/>
          </c:dLbls>
          <c:cat>
            <c:strRef>
              <c:f>'[50]BGA 25_Diagramme'!$L$4:$W$4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'[50]BGA 25_Diagramme'!$L$8:$W$8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3"/>
          <c:tx>
            <c:strRef>
              <c:f>'[50]BGA 25_Diagramme'!$K$7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'[50]BGA 25_Diagramme'!$L$4:$W$4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'[50]BGA 25_Diagramme'!$L$7:$W$7</c:f>
              <c:numCache>
                <c:formatCode>General</c:formatCode>
                <c:ptCount val="12"/>
              </c:numCache>
            </c:numRef>
          </c:val>
        </c:ser>
        <c:ser>
          <c:idx val="9"/>
          <c:order val="5"/>
          <c:tx>
            <c:strRef>
              <c:f>'[51]Diagramm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'[50]BGA 25_Diagramme'!$L$4:$W$4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'[51]Diagramm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773952"/>
        <c:axId val="257775872"/>
      </c:barChart>
      <c:lineChart>
        <c:grouping val="stacked"/>
        <c:varyColors val="0"/>
        <c:ser>
          <c:idx val="7"/>
          <c:order val="4"/>
          <c:tx>
            <c:strRef>
              <c:f>'[50]BGA 25_Diagramme'!$K$9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'[50]BGA 25_Diagramme'!$L$9:$W$9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796352"/>
        <c:axId val="257794432"/>
      </c:lineChart>
      <c:dateAx>
        <c:axId val="25777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775872"/>
        <c:crosses val="autoZero"/>
        <c:auto val="0"/>
        <c:lblAlgn val="ctr"/>
        <c:lblOffset val="100"/>
        <c:baseTimeUnit val="days"/>
      </c:dateAx>
      <c:valAx>
        <c:axId val="25777587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773952"/>
        <c:crosses val="autoZero"/>
        <c:crossBetween val="between"/>
      </c:valAx>
      <c:dateAx>
        <c:axId val="2577963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794432"/>
        <c:crosses val="autoZero"/>
        <c:auto val="0"/>
        <c:lblAlgn val="ctr"/>
        <c:lblOffset val="100"/>
        <c:baseTimeUnit val="days"/>
      </c:dateAx>
      <c:valAx>
        <c:axId val="25779443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3031695417174"/>
              <c:y val="0.075432946178639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779635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013915428109586"/>
          <c:y val="0.885952082593001"/>
          <c:w val="0.964124744638902"/>
          <c:h val="0.0950455421100866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98791132993"/>
          <c:y val="0.0556740803953989"/>
          <c:w val="0.850105653741306"/>
          <c:h val="0.7842764947463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'[50]BGA 25_Diagramme'!$L$22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'[50]BGA 25_Diagramme'!$K$23:$K$34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'[50]BGA 25_Diagramme'!$L$23:$L$34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1"/>
          <c:tx>
            <c:strRef>
              <c:f>'[50]BGA 25_Diagramme'!$M$22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'[50]BGA 25_Diagramme'!$K$23:$K$34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'[50]BGA 25_Diagramme'!$M$23:$M$34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8699648"/>
        <c:axId val="258701184"/>
      </c:barChart>
      <c:catAx>
        <c:axId val="25869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8701184"/>
        <c:crosses val="autoZero"/>
        <c:auto val="1"/>
        <c:lblAlgn val="ctr"/>
        <c:lblOffset val="100"/>
        <c:noMultiLvlLbl val="1"/>
      </c:catAx>
      <c:valAx>
        <c:axId val="258701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8699648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44267430906832"/>
          <c:y val="0.0830656565656566"/>
          <c:w val="0.305936279700922"/>
          <c:h val="0.07272390572390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12887575513868"/>
        </c:manualLayout>
      </c:layout>
      <c:barChart>
        <c:barDir val="col"/>
        <c:grouping val="stacked"/>
        <c:varyColors val="0"/>
        <c:ser>
          <c:idx val="8"/>
          <c:order val="0"/>
          <c:tx>
            <c:strRef>
              <c:f>'[52]BGA 26_Diagramme'!$K$11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'[52]BGA 26_Diagramme'!$L$11:$W$11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'[52]BGA 26_Diagramme'!$K$12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'[52]BGA 26_Diagramme'!$L$12:$W$12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'[52]BGA 26_Diagramme'!$K$7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'[53]Diagramm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'[52]BGA 26_Diagramme'!$L$7:$W$7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3"/>
          <c:tx>
            <c:strRef>
              <c:f>'[52]BGA 26_Diagramme'!$K$8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'[52]BGA 26_Diagramme'!$L$8:$W$8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4"/>
          <c:tx>
            <c:strRef>
              <c:f>'[52]BGA 26_Diagramme'!$K$10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'[52]BGA 26_Diagramme'!$L$10:$W$10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6"/>
          <c:tx>
            <c:strRef>
              <c:f>'[52]BGA 26_Diagramme'!$K$9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val>
            <c:numRef>
              <c:f>'[52]BGA 26_Diagramme'!$L$9:$W$9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580800"/>
        <c:axId val="256905984"/>
      </c:barChart>
      <c:lineChart>
        <c:grouping val="stacked"/>
        <c:varyColors val="0"/>
        <c:ser>
          <c:idx val="7"/>
          <c:order val="5"/>
          <c:tx>
            <c:strRef>
              <c:f>'[52]BGA 26_Diagramme'!$K$13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numRef>
              <c:f>'[52]BGA 26_Diagramme'!$L$6:$W$6</c:f>
              <c:numCache>
                <c:ptCount val="0"/>
              </c:numCache>
            </c:numRef>
          </c:cat>
          <c:val>
            <c:numRef>
              <c:f>'[52]BGA 26_Diagramme'!$L$13:$W$13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910080"/>
        <c:axId val="256907904"/>
      </c:lineChart>
      <c:dateAx>
        <c:axId val="2555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905984"/>
        <c:crosses val="autoZero"/>
        <c:auto val="0"/>
        <c:lblAlgn val="ctr"/>
        <c:lblOffset val="100"/>
        <c:baseTimeUnit val="days"/>
      </c:dateAx>
      <c:valAx>
        <c:axId val="25690598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5580800"/>
        <c:crosses val="autoZero"/>
        <c:crossBetween val="between"/>
      </c:valAx>
      <c:dateAx>
        <c:axId val="256910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907904"/>
        <c:crosses val="autoZero"/>
        <c:auto val="0"/>
        <c:lblAlgn val="ctr"/>
        <c:lblOffset val="100"/>
        <c:baseTimeUnit val="days"/>
      </c:dateAx>
      <c:valAx>
        <c:axId val="25690790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910080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6"/>
        <c:delete val="1"/>
      </c:legendEntry>
      <c:layout>
        <c:manualLayout>
          <c:xMode val="edge"/>
          <c:yMode val="edge"/>
          <c:x val="0.0247658496732026"/>
          <c:y val="0.850457118525198"/>
          <c:w val="0.956693790849673"/>
          <c:h val="0.13045661757338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98791132993"/>
          <c:y val="0.0556740803953989"/>
          <c:w val="0.850105653741306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'[52]BGA 26_Diagramme'!$L$23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'[52]BGA 26_Diagramme'!$K$24:$K$35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'[52]BGA 26_Diagramme'!$L$24:$L$35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'[52]BGA 26_Diagramme'!$M$23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'[52]BGA 26_Diagramme'!$K$24:$K$35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'[52]BGA 26_Diagramme'!$M$24:$M$35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6936576"/>
        <c:axId val="256954752"/>
      </c:barChart>
      <c:catAx>
        <c:axId val="25693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6954752"/>
        <c:crosses val="autoZero"/>
        <c:auto val="1"/>
        <c:lblAlgn val="ctr"/>
        <c:lblOffset val="100"/>
        <c:noMultiLvlLbl val="1"/>
      </c:catAx>
      <c:valAx>
        <c:axId val="256954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693657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385207136553254"/>
          <c:y val="0.0587053531743915"/>
          <c:w val="0.569860371073845"/>
          <c:h val="0.076204597578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327407407407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'[52]BGA 26_Diagramme'!$L$40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'[52]BGA 26_Diagramme'!$K$41:$K$52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'[52]BGA 26_Diagramme'!$L$41:$L$52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'[52]BGA 26_Diagramme'!$M$40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'[52]BGA 26_Diagramme'!$K$41:$K$52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'[52]BGA 26_Diagramme'!$M$41:$M$52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078016"/>
        <c:axId val="259079552"/>
      </c:barChart>
      <c:catAx>
        <c:axId val="25907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079552"/>
        <c:crosses val="autoZero"/>
        <c:auto val="1"/>
        <c:lblAlgn val="ctr"/>
        <c:lblOffset val="100"/>
        <c:noMultiLvlLbl val="0"/>
      </c:catAx>
      <c:valAx>
        <c:axId val="259079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0780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0878645424836601"/>
          <c:y val="0.0432161879015656"/>
          <c:w val="0.88366160130719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'[54]BGA 27_Diagramme'!$I$11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'[54]BGA 27_Diagramme'!$J$7:$U$7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'[54]BGA 27_Diagramme'!$J$11:$U$11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1"/>
          <c:tx>
            <c:strRef>
              <c:f>'[54]BGA 27_Diagramme'!$I$9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'[54]BGA 27_Diagramme'!$J$7:$U$7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'[54]BGA 27_Diagramme'!$J$9:$U$9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2"/>
          <c:tx>
            <c:strRef>
              <c:f>'[54]BGA 27_Diagramme'!$I$8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'[54]BGA 27_Diagramme'!$J$7:$U$7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'[54]BGA 27_Diagramme'!$J$8:$U$8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3"/>
          <c:tx>
            <c:strRef>
              <c:f>'[54]BGA 27_Diagramme'!$I$10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'[54]BGA 27_Diagramme'!$J$7:$U$7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'[54]BGA 27_Diagramme'!$J$10:$U$10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9057536"/>
        <c:axId val="259129344"/>
      </c:barChart>
      <c:lineChart>
        <c:grouping val="stacked"/>
        <c:varyColors val="0"/>
        <c:ser>
          <c:idx val="7"/>
          <c:order val="4"/>
          <c:tx>
            <c:strRef>
              <c:f>'[54]BGA 27_Diagramme'!$I$12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strRef>
              <c:f>'[54]BGA 27_Diagramme'!$J$7:$U$7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'[54]BGA 27_Diagramme'!$J$12:$U$12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158016"/>
        <c:axId val="259131264"/>
      </c:lineChart>
      <c:dateAx>
        <c:axId val="25905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129344"/>
        <c:crosses val="autoZero"/>
        <c:auto val="0"/>
        <c:lblAlgn val="ctr"/>
        <c:lblOffset val="100"/>
        <c:baseTimeUnit val="days"/>
      </c:dateAx>
      <c:valAx>
        <c:axId val="25912934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057536"/>
        <c:crosses val="autoZero"/>
        <c:crossBetween val="between"/>
      </c:valAx>
      <c:dateAx>
        <c:axId val="259158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131264"/>
        <c:crosses val="autoZero"/>
        <c:auto val="0"/>
        <c:lblAlgn val="ctr"/>
        <c:lblOffset val="100"/>
        <c:baseTimeUnit val="days"/>
      </c:dateAx>
      <c:valAx>
        <c:axId val="25913126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15801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137602112617"/>
          <c:y val="0.0556740803953989"/>
          <c:w val="0.845955962958619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'[54]BGA 27_Diagramme'!$K$24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'[54]BGA 27_Diagramme'!$J$25:$J$36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'[54]BGA 27_Diagramme'!$K$25:$K$36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9187456"/>
        <c:axId val="259188992"/>
      </c:barChart>
      <c:catAx>
        <c:axId val="25918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188992"/>
        <c:crosses val="autoZero"/>
        <c:auto val="1"/>
        <c:lblAlgn val="ctr"/>
        <c:lblOffset val="100"/>
        <c:noMultiLvlLbl val="0"/>
      </c:catAx>
      <c:valAx>
        <c:axId val="2591889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18745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199124579124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'[54]BGA 27_Diagramme'!$K$41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'[54]BGA 27_Diagramme'!$J$42:$J$53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'[54]BGA 27_Diagramme'!$K$42:$K$53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'[54]BGA 27_Diagramme'!$L$41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'[54]BGA 27_Diagramme'!$J$42:$J$53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'[54]BGA 27_Diagramme'!$L$42:$L$53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8825600"/>
        <c:axId val="258827392"/>
      </c:barChart>
      <c:catAx>
        <c:axId val="25882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8827392"/>
        <c:crosses val="autoZero"/>
        <c:auto val="1"/>
        <c:lblAlgn val="ctr"/>
        <c:lblOffset val="100"/>
        <c:noMultiLvlLbl val="0"/>
      </c:catAx>
      <c:valAx>
        <c:axId val="258827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882560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2536764705882"/>
          <c:y val="0.0655463490040075"/>
          <c:w val="0.860834803921569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'[55]BGA 28_Diagramme'!$M$3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'[55]BGA 28_Diagramme'!$K$4:$K$15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'[55]BGA 28_Diagramme'!$M$4:$M$15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1"/>
          <c:tx>
            <c:strRef>
              <c:f>'[55]BGA 28_Diagramme'!$N$3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'[55]BGA 28_Diagramme'!$K$4:$K$15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'[55]BGA 28_Diagramme'!$N$4:$N$15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2"/>
          <c:tx>
            <c:strRef>
              <c:f>'[55]BGA 28_Diagramme'!$O$3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'[55]BGA 28_Diagramme'!$K$4:$K$15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'[55]BGA 28_Diagramme'!$O$4:$O$15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3"/>
          <c:tx>
            <c:strRef>
              <c:f>'[55]BGA 28_Diagramme'!$P$3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'[55]BGA 28_Diagramme'!$K$4:$K$15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'[55]BGA 28_Diagramme'!$P$4:$P$15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8964864"/>
        <c:axId val="258979328"/>
      </c:barChart>
      <c:lineChart>
        <c:grouping val="stacked"/>
        <c:varyColors val="0"/>
        <c:ser>
          <c:idx val="7"/>
          <c:order val="4"/>
          <c:tx>
            <c:strRef>
              <c:f>'[55]BGA 28_Diagramme'!$L$3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'[55]BGA 28_Diagramme'!$L$4:$L$15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983424"/>
        <c:axId val="258981248"/>
      </c:lineChart>
      <c:dateAx>
        <c:axId val="25896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979328"/>
        <c:crosses val="autoZero"/>
        <c:auto val="0"/>
        <c:lblAlgn val="ctr"/>
        <c:lblOffset val="100"/>
        <c:baseTimeUnit val="days"/>
      </c:dateAx>
      <c:valAx>
        <c:axId val="25897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964864"/>
        <c:crosses val="autoZero"/>
        <c:crossBetween val="between"/>
      </c:valAx>
      <c:dateAx>
        <c:axId val="25898342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981248"/>
        <c:crosses val="autoZero"/>
        <c:auto val="0"/>
        <c:lblAlgn val="ctr"/>
        <c:lblOffset val="100"/>
        <c:baseTimeUnit val="days"/>
      </c:dateAx>
      <c:valAx>
        <c:axId val="25898124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2285115303983"/>
              <c:y val="0.062764695980698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983424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00178197064989518"/>
          <c:y val="0.88889021888891"/>
          <c:w val="0.948218029350105"/>
          <c:h val="0.092107405814178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'[56]Diagramm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'[56]Diagramm Kapitel 5'!$D$28:$D$39</c:f>
              <c:numCache>
                <c:formatCode>General</c:formatCode>
                <c:ptCount val="1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</c:numCache>
            </c:numRef>
          </c:cat>
          <c:val>
            <c:numRef>
              <c:f>'[56]Diagramm Kapitel 5'!$E$28:$E$39</c:f>
              <c:numCache>
                <c:formatCode>General</c:formatCode>
                <c:ptCount val="12"/>
                <c:pt idx="0">
                  <c:v>0.276</c:v>
                </c:pt>
                <c:pt idx="1">
                  <c:v>0.487</c:v>
                </c:pt>
                <c:pt idx="2">
                  <c:v>0.345</c:v>
                </c:pt>
                <c:pt idx="3">
                  <c:v>0.34</c:v>
                </c:pt>
                <c:pt idx="4">
                  <c:v>0.357</c:v>
                </c:pt>
                <c:pt idx="5">
                  <c:v>0.257</c:v>
                </c:pt>
                <c:pt idx="6">
                  <c:v>0.29</c:v>
                </c:pt>
                <c:pt idx="7">
                  <c:v>0.271</c:v>
                </c:pt>
                <c:pt idx="8">
                  <c:v>0.252</c:v>
                </c:pt>
                <c:pt idx="9">
                  <c:v>0.246</c:v>
                </c:pt>
                <c:pt idx="10">
                  <c:v>0.243</c:v>
                </c:pt>
                <c:pt idx="11">
                  <c:v>0.278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9488000"/>
        <c:axId val="259497984"/>
      </c:barChart>
      <c:catAx>
        <c:axId val="259488000"/>
        <c:scaling>
          <c:orientation val="minMax"/>
        </c:scaling>
        <c:delete val="0"/>
        <c:axPos val="b"/>
        <c:numFmt formatCode="[$-407]mmm/\ 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9497984"/>
        <c:crosses val="autoZero"/>
        <c:auto val="1"/>
        <c:lblAlgn val="ctr"/>
        <c:lblOffset val="100"/>
        <c:noMultiLvlLbl val="1"/>
      </c:catAx>
      <c:valAx>
        <c:axId val="259497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FOS/TAC [-]</a:t>
                </a:r>
                <a:endParaRPr lang="de-DE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9488000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11102934563086"/>
          <c:y val="0.019653847616874"/>
          <c:w val="0.888590444885978"/>
          <c:h val="0.9157675580407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'[55]BGA 28_Diagramme'!$L$40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'[55]BGA 28_Diagramme'!$K$41:$K$52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'[55]BGA 28_Diagramme'!$L$41:$L$52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'[55]BGA 28_Diagramme'!$M$40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'[55]BGA 28_Diagramme'!$K$41:$K$52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'[55]BGA 28_Diagramme'!$M$41:$M$52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523712"/>
        <c:axId val="259525248"/>
      </c:barChart>
      <c:catAx>
        <c:axId val="2595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525248"/>
        <c:crosses val="autoZero"/>
        <c:auto val="1"/>
        <c:lblAlgn val="ctr"/>
        <c:lblOffset val="100"/>
        <c:noMultiLvlLbl val="1"/>
      </c:catAx>
      <c:valAx>
        <c:axId val="2595252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52371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4517052190906"/>
          <c:y val="0.0268989564710208"/>
          <c:w val="0.848555285729471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'[55]BGA 28_Diagramme'!$L$25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'[55]BGA 28_Diagramme'!$K$4:$K$15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'[55]BGA 28_Diagramme'!$L$26:$L$37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'[55]BGA 28_Diagramme'!$M$25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cat>
            <c:strRef>
              <c:f>'[55]BGA 28_Diagramme'!$K$4:$K$15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'[55]BGA 28_Diagramme'!$M$26:$M$37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9555712"/>
        <c:axId val="259557248"/>
      </c:barChart>
      <c:catAx>
        <c:axId val="259555712"/>
        <c:scaling>
          <c:orientation val="minMax"/>
        </c:scaling>
        <c:delete val="0"/>
        <c:axPos val="b"/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557248"/>
        <c:crosses val="autoZero"/>
        <c:auto val="1"/>
        <c:lblAlgn val="ctr"/>
        <c:lblOffset val="100"/>
        <c:noMultiLvlLbl val="1"/>
      </c:catAx>
      <c:valAx>
        <c:axId val="259557248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555712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43679411234026"/>
          <c:y val="0.0796565150141341"/>
          <c:w val="0.313085235572693"/>
          <c:h val="0.07751737870464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6904804127842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'[58]BGA 29_Diagramme'!$O$3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'[58]BGA 29_Diagramme'!$O$4:$O$15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1"/>
          <c:tx>
            <c:strRef>
              <c:f>'[58]BGA 29_Diagramme'!$L$3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'[57]Diagramm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'[58]BGA 29_Diagramme'!$L$4:$L$15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2"/>
          <c:tx>
            <c:strRef>
              <c:f>'[58]BGA 29_Diagramme'!$M$3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'[57]Diagramm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'[58]BGA 29_Diagramme'!$M$4:$M$15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3"/>
          <c:tx>
            <c:strRef>
              <c:f>'[58]BGA 29_Diagramme'!$N$3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'[58]BGA 29_Diagramme'!$N$4:$N$15</c:f>
              <c:numCache>
                <c:formatCode>General</c:formatCode>
                <c:ptCount val="12"/>
              </c:numCache>
            </c:numRef>
          </c:val>
        </c:ser>
        <c:ser>
          <c:idx val="9"/>
          <c:order val="5"/>
          <c:tx>
            <c:strRef>
              <c:f>'[57]Diagramm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'[57]Diagramm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6775680"/>
        <c:axId val="256777600"/>
      </c:barChart>
      <c:lineChart>
        <c:grouping val="stacked"/>
        <c:varyColors val="0"/>
        <c:ser>
          <c:idx val="7"/>
          <c:order val="4"/>
          <c:tx>
            <c:strRef>
              <c:f>'[58]BGA 29_Diagramme'!$P$3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'[58]BGA 29_Diagramme'!$P$4:$P$15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789888"/>
        <c:axId val="256787968"/>
      </c:lineChart>
      <c:dateAx>
        <c:axId val="25677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777600"/>
        <c:crosses val="autoZero"/>
        <c:auto val="0"/>
        <c:lblAlgn val="ctr"/>
        <c:lblOffset val="100"/>
        <c:baseTimeUnit val="days"/>
      </c:dateAx>
      <c:valAx>
        <c:axId val="2567776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775680"/>
        <c:crosses val="autoZero"/>
        <c:crossBetween val="between"/>
      </c:valAx>
      <c:dateAx>
        <c:axId val="25678988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787968"/>
        <c:crosses val="autoZero"/>
        <c:auto val="0"/>
        <c:lblAlgn val="ctr"/>
        <c:lblOffset val="100"/>
        <c:baseTimeUnit val="days"/>
      </c:dateAx>
      <c:valAx>
        <c:axId val="25678796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alpha val="97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6789888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0162053921568627"/>
          <c:y val="0.81864667868951"/>
          <c:w val="0.965514052287582"/>
          <c:h val="0.16226705740907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'[58]BGA 29_Diagramme'!$L$25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'[58]BGA 29_Diagramme'!$K$26:$K$37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'[58]BGA 29_Diagramme'!$L$26:$L$37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8081152"/>
        <c:axId val="258082688"/>
      </c:barChart>
      <c:catAx>
        <c:axId val="2580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8082688"/>
        <c:crosses val="autoZero"/>
        <c:auto val="1"/>
        <c:lblAlgn val="ctr"/>
        <c:lblOffset val="100"/>
        <c:noMultiLvlLbl val="1"/>
      </c:catAx>
      <c:valAx>
        <c:axId val="258082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8081152"/>
        <c:crosses val="autoZero"/>
        <c:crossBetween val="between"/>
        <c:majorUnit val="0.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468367802955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'[58]BGA 29_Diagramme'!$L$42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'[57]Diagramm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'[58]BGA 29_Diagramme'!$L$43:$L$54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'[58]BGA 29_Diagramme'!$M$42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'[57]Diagramm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'[58]BGA 29_Diagramme'!$M$43:$M$54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8116608"/>
        <c:axId val="258118400"/>
      </c:barChart>
      <c:catAx>
        <c:axId val="25811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8118400"/>
        <c:crosses val="autoZero"/>
        <c:auto val="1"/>
        <c:lblAlgn val="ctr"/>
        <c:lblOffset val="100"/>
        <c:noMultiLvlLbl val="0"/>
      </c:catAx>
      <c:valAx>
        <c:axId val="2581184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811660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1516419645452"/>
          <c:y val="0.0655463490040075"/>
          <c:w val="0.861855274629468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12747720669272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'[59]BGA 30_Diagramme'!$K$6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'[59]BGA 30_Diagramme'!$L$5:$W$5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'[59]BGA 30_Diagramme'!$L$6:$W$6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1"/>
          <c:tx>
            <c:strRef>
              <c:f>'[59]BGA 30_Diagramme'!$K$7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'[59]BGA 30_Diagramme'!$L$5:$W$5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'[59]BGA 30_Diagramme'!$L$7:$W$7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2"/>
          <c:tx>
            <c:strRef>
              <c:f>'[59]BGA 30_Diagramme'!$K$8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'[59]BGA 30_Diagramme'!$L$5:$W$5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'[59]BGA 30_Diagramme'!$L$8:$W$8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3"/>
          <c:tx>
            <c:strRef>
              <c:f>'[59]BGA 30_Diagramme'!$K$9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'[59]BGA 30_Diagramme'!$L$5:$W$5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'[59]BGA 30_Diagramme'!$L$9:$W$9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4"/>
          <c:tx>
            <c:strRef>
              <c:f>'[59]BGA 30_Diagramme'!$K$10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'[59]BGA 30_Diagramme'!$L$5:$W$5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'[59]BGA 30_Diagramme'!$L$10:$W$10</c:f>
              <c:numCache>
                <c:formatCode>General</c:formatCode>
                <c:ptCount val="12"/>
              </c:numCache>
            </c:numRef>
          </c:val>
        </c:ser>
        <c:ser>
          <c:idx val="9"/>
          <c:order val="6"/>
          <c:tx>
            <c:strRef>
              <c:f>'[59]BGA 30_Diagramme'!$K$11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'[59]BGA 30_Diagramme'!$L$5:$W$5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'[59]BGA 30_Diagramme'!$L$11:$W$11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8409984"/>
        <c:axId val="258411904"/>
      </c:barChart>
      <c:lineChart>
        <c:grouping val="stacked"/>
        <c:varyColors val="0"/>
        <c:ser>
          <c:idx val="7"/>
          <c:order val="5"/>
          <c:tx>
            <c:strRef>
              <c:f>'[59]BGA 30_Diagramme'!$K$12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'[59]BGA 30_Diagramme'!$L$12:$W$12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420096"/>
        <c:axId val="258418176"/>
      </c:lineChart>
      <c:dateAx>
        <c:axId val="25840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411904"/>
        <c:crosses val="autoZero"/>
        <c:auto val="0"/>
        <c:lblAlgn val="ctr"/>
        <c:lblOffset val="100"/>
        <c:baseTimeUnit val="days"/>
      </c:dateAx>
      <c:valAx>
        <c:axId val="2584119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409984"/>
        <c:crosses val="autoZero"/>
        <c:crossBetween val="between"/>
      </c:valAx>
      <c:dateAx>
        <c:axId val="25842009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418176"/>
        <c:crosses val="autoZero"/>
        <c:auto val="0"/>
        <c:lblAlgn val="ctr"/>
        <c:lblOffset val="100"/>
        <c:baseTimeUnit val="days"/>
      </c:dateAx>
      <c:valAx>
        <c:axId val="25841817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42009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6"/>
        <c:delete val="1"/>
      </c:legendEntry>
      <c:layout>
        <c:manualLayout>
          <c:xMode val="edge"/>
          <c:yMode val="edge"/>
          <c:x val="0.0827349673202614"/>
          <c:y val="0.855239955916241"/>
          <c:w val="0.880183496732026"/>
          <c:h val="0.125673780182346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'[59]BGA 30_Diagramme'!$L$25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'[59]BGA 30_Diagramme'!$K$26:$K$37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'[59]BGA 30_Diagramme'!$L$26:$L$37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9260800"/>
        <c:axId val="259262336"/>
      </c:barChart>
      <c:catAx>
        <c:axId val="25926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262336"/>
        <c:crosses val="autoZero"/>
        <c:auto val="1"/>
        <c:lblAlgn val="ctr"/>
        <c:lblOffset val="100"/>
        <c:noMultiLvlLbl val="0"/>
      </c:catAx>
      <c:valAx>
        <c:axId val="259262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260800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455690235690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'[59]BGA 30_Diagramme'!$L$42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'[59]BGA 30_Diagramme'!$K$43:$K$54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'[59]BGA 30_Diagramme'!$L$43:$L$54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'[59]BGA 30_Diagramme'!$M$42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'[59]BGA 30_Diagramme'!$K$43:$K$54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'[59]BGA 30_Diagramme'!$M$43:$M$54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275776"/>
        <c:axId val="259298048"/>
      </c:barChart>
      <c:catAx>
        <c:axId val="2592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298048"/>
        <c:crosses val="autoZero"/>
        <c:auto val="1"/>
        <c:lblAlgn val="ctr"/>
        <c:lblOffset val="100"/>
        <c:noMultiLvlLbl val="0"/>
      </c:catAx>
      <c:valAx>
        <c:axId val="25929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2757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046160130719"/>
          <c:y val="0.0655463490040075"/>
          <c:w val="0.862909967320261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857300141520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'[61]BGA 31_Diagramme'!$J$9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'[60]Diagramm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'[61]BGA 31_Diagramme'!$K$9:$V$9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1"/>
          <c:tx>
            <c:strRef>
              <c:f>'[61]BGA 31_Diagramme'!$J$10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'[60]Diagramm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'[61]BGA 31_Diagramme'!$K$10:$V$10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2"/>
          <c:tx>
            <c:strRef>
              <c:f>'[61]BGA 31_Diagramme'!$J$7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'[60]Diagramm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'[61]BGA 31_Diagramme'!$K$7:$V$7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3"/>
          <c:tx>
            <c:strRef>
              <c:f>'[61]BGA 31_Diagramme'!$J$8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'[60]Diagramm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'[61]BGA 31_Diagramme'!$K$8:$V$8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9353600"/>
        <c:axId val="259368064"/>
      </c:barChart>
      <c:lineChart>
        <c:grouping val="stacked"/>
        <c:varyColors val="0"/>
        <c:ser>
          <c:idx val="7"/>
          <c:order val="4"/>
          <c:tx>
            <c:strRef>
              <c:f>'[61]BGA 31_Diagramme'!$J$11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numRef>
              <c:f>'[61]BGA 31_Diagramme'!$K$6:$V$6</c:f>
              <c:numCache>
                <c:ptCount val="0"/>
              </c:numCache>
            </c:numRef>
          </c:cat>
          <c:val>
            <c:numRef>
              <c:f>'[61]BGA 31_Diagramme'!$K$11:$V$11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372160"/>
        <c:axId val="259369984"/>
      </c:lineChart>
      <c:dateAx>
        <c:axId val="2593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368064"/>
        <c:crosses val="autoZero"/>
        <c:auto val="0"/>
        <c:lblAlgn val="ctr"/>
        <c:lblOffset val="100"/>
        <c:baseTimeUnit val="days"/>
      </c:dateAx>
      <c:valAx>
        <c:axId val="2593680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353600"/>
        <c:crosses val="autoZero"/>
        <c:crossBetween val="between"/>
      </c:valAx>
      <c:dateAx>
        <c:axId val="259372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369984"/>
        <c:crosses val="autoZero"/>
        <c:auto val="0"/>
        <c:lblAlgn val="ctr"/>
        <c:lblOffset val="100"/>
        <c:baseTimeUnit val="days"/>
      </c:dateAx>
      <c:valAx>
        <c:axId val="25936998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5042755614856"/>
              <c:y val="0.084934133827095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372160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0926197732822577"/>
          <c:y val="0.925562808211919"/>
          <c:w val="0.814760295084288"/>
          <c:h val="0.064936004139625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38220547243"/>
          <c:y val="0.0556740803953989"/>
          <c:w val="0.854255344523993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'[61]BGA 31_Diagramme'!$K$24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'[61]BGA 31_Diagramme'!$J$25:$J$36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'[61]BGA 31_Diagramme'!$K$25:$K$36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'[61]BGA 31_Diagramme'!$L$24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cat>
            <c:strRef>
              <c:f>'[61]BGA 31_Diagramme'!$J$25:$J$36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'[61]BGA 31_Diagramme'!$L$25:$L$36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0377600"/>
        <c:axId val="260391680"/>
      </c:barChart>
      <c:catAx>
        <c:axId val="26037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391680"/>
        <c:crosses val="autoZero"/>
        <c:auto val="1"/>
        <c:lblAlgn val="ctr"/>
        <c:lblOffset val="100"/>
        <c:noMultiLvlLbl val="0"/>
      </c:catAx>
      <c:valAx>
        <c:axId val="260391680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377600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27950160579963"/>
          <c:y val="0.0729717171717172"/>
          <c:w val="0.345729200328446"/>
          <c:h val="0.08165875513360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617235543638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'[61]BGA 31_Diagramme'!$L$41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'[61]BGA 31_Diagramme'!$K$42:$K$53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'[61]BGA 31_Diagramme'!$L$42:$L$53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'[61]BGA 31_Diagramme'!$M$41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'[61]BGA 31_Diagramme'!$K$42:$K$53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'[61]BGA 31_Diagramme'!$M$42:$M$53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425984"/>
        <c:axId val="260427776"/>
      </c:barChart>
      <c:catAx>
        <c:axId val="2604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0427776"/>
        <c:crosses val="autoZero"/>
        <c:auto val="1"/>
        <c:lblAlgn val="ctr"/>
        <c:lblOffset val="100"/>
        <c:noMultiLvlLbl val="0"/>
      </c:catAx>
      <c:valAx>
        <c:axId val="260427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042598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55805870386516"/>
          <c:y val="0.0655463490040075"/>
          <c:w val="0.817565823888404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38182045887186"/>
        </c:manualLayout>
      </c:layout>
      <c:barChart>
        <c:barDir val="col"/>
        <c:grouping val="stacked"/>
        <c:varyColors val="0"/>
        <c:ser>
          <c:idx val="8"/>
          <c:order val="0"/>
          <c:tx>
            <c:strRef>
              <c:f>'[62]BGA 32_Diagramme'!$J$8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cat>
            <c:strRef>
              <c:f>'[62]BGA 32_Diagramme'!$K$2:$V$2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32_Diagramme'!$K$8:$V$8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'[62]BGA 32_Diagramme'!$J$5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'[62]BGA 32_Diagramme'!$K$2:$V$2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32_Diagramme'!$K$5:$V$5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'[62]BGA 32_Diagramme'!$J$3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'[62]BGA 32_Diagramme'!$K$2:$V$2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32_Diagramme'!$K$3:$V$3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'[62]BGA 32_Diagramme'!$J$4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'[62]BGA 32_Diagramme'!$K$2:$V$2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32_Diagramme'!$K$4:$V$4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4"/>
          <c:tx>
            <c:strRef>
              <c:f>'[62]BGA 32_Diagramme'!$J$7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'[62]BGA 32_Diagramme'!$K$2:$V$2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32_Diagramme'!$K$7:$V$7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5"/>
          <c:tx>
            <c:strRef>
              <c:f>'[62]BGA 32_Diagramme'!$J$6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'[62]BGA 32_Diagramme'!$K$2:$V$2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32_Diagramme'!$K$6:$V$6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543232"/>
        <c:axId val="260545152"/>
      </c:barChart>
      <c:lineChart>
        <c:grouping val="stacked"/>
        <c:varyColors val="0"/>
        <c:ser>
          <c:idx val="7"/>
          <c:order val="6"/>
          <c:tx>
            <c:strRef>
              <c:f>'[62]BGA 32_Diagramme'!$J$9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'[62]BGA 32_Diagramme'!$K$9:$V$9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569728"/>
        <c:axId val="260567808"/>
      </c:lineChart>
      <c:dateAx>
        <c:axId val="26054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545152"/>
        <c:crosses val="autoZero"/>
        <c:auto val="0"/>
        <c:lblAlgn val="ctr"/>
        <c:lblOffset val="100"/>
        <c:baseTimeUnit val="days"/>
      </c:dateAx>
      <c:valAx>
        <c:axId val="26054515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543232"/>
        <c:crosses val="autoZero"/>
        <c:crossBetween val="between"/>
      </c:valAx>
      <c:dateAx>
        <c:axId val="26056972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567808"/>
        <c:crosses val="autoZero"/>
        <c:auto val="0"/>
        <c:lblAlgn val="ctr"/>
        <c:lblOffset val="100"/>
        <c:baseTimeUnit val="days"/>
      </c:dateAx>
      <c:valAx>
        <c:axId val="26056780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2972222222222"/>
              <c:y val="0.05930392746217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569728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6"/>
        <c:delete val="1"/>
      </c:legendEntry>
      <c:layout>
        <c:manualLayout>
          <c:xMode val="edge"/>
          <c:yMode val="edge"/>
          <c:x val="0.0797001633986928"/>
          <c:y val="0.872724426410179"/>
          <c:w val="0.840599509803922"/>
          <c:h val="0.108189309688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'[62]BGA 32_Diagramme'!$K$24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'[62]BGA 32_Diagramme'!$J$25:$J$36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32_Diagramme'!$K$25:$K$36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'[62]BGA 32_Diagramme'!$L$24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'[62]BGA 32_Diagramme'!$J$25:$J$36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32_Diagramme'!$L$25:$L$36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0215552"/>
        <c:axId val="260217088"/>
      </c:barChart>
      <c:catAx>
        <c:axId val="26021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0217088"/>
        <c:crosses val="autoZero"/>
        <c:auto val="1"/>
        <c:lblAlgn val="ctr"/>
        <c:lblOffset val="100"/>
        <c:noMultiLvlLbl val="0"/>
      </c:catAx>
      <c:valAx>
        <c:axId val="2602170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0215552"/>
        <c:crosses val="autoZero"/>
        <c:crossBetween val="between"/>
        <c:majorUnit val="0.2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546676345144357"/>
          <c:y val="0.0677369459704518"/>
          <c:w val="0.404398950131234"/>
          <c:h val="0.076204597578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633006535948"/>
          <c:y val="0.0227117079496253"/>
          <c:w val="0.855391176470588"/>
          <c:h val="0.9026621830516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'[62]BGA 32_Diagramme'!$K$40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'[62]BGA 32_Diagramme'!$J$41:$J$52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32_Diagramme'!$K$41:$K$52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'[62]BGA 32_Diagramme'!$L$40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'[62]BGA 32_Diagramme'!$J$41:$J$52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'[62]BGA 32_Diagramme'!$L$41:$L$52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247552"/>
        <c:axId val="260249088"/>
      </c:barChart>
      <c:catAx>
        <c:axId val="26024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249088"/>
        <c:crosses val="autoZero"/>
        <c:auto val="1"/>
        <c:lblAlgn val="ctr"/>
        <c:lblOffset val="100"/>
        <c:noMultiLvlLbl val="0"/>
      </c:catAx>
      <c:valAx>
        <c:axId val="260249088"/>
        <c:scaling>
          <c:orientation val="minMax"/>
          <c:max val="12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24755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14509967320261"/>
          <c:y val="0.0429969696969697"/>
          <c:w val="0.845685947712418"/>
          <c:h val="0.089629222620277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69224509803922"/>
          <c:h val="0.684274371445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'[63]BGA 33_Diagramme'!$D$2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'[63]BGA 33_Diagramme'!$C$4:$C$15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'[63]BGA 33_Diagramme'!$D$5:$D$14</c:f>
              <c:numCache>
                <c:formatCode>General</c:formatCode>
                <c:ptCount val="10"/>
              </c:numCache>
            </c:numRef>
          </c:val>
        </c:ser>
        <c:ser>
          <c:idx val="6"/>
          <c:order val="1"/>
          <c:tx>
            <c:strRef>
              <c:f>'[63]BGA 33_Diagramme'!$E$2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'[63]BGA 33_Diagramme'!$C$4:$C$15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'[63]BGA 33_Diagramme'!$E$5:$E$14</c:f>
              <c:numCache>
                <c:formatCode>General</c:formatCode>
                <c:ptCount val="10"/>
              </c:numCache>
            </c:numRef>
          </c:val>
        </c:ser>
        <c:ser>
          <c:idx val="4"/>
          <c:order val="2"/>
          <c:tx>
            <c:strRef>
              <c:f>'[63]BGA 33_Diagramme'!$F$2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'[63]BGA 33_Diagramme'!$C$4:$C$15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'[63]BGA 33_Diagramme'!$F$5:$F$14</c:f>
              <c:numCache>
                <c:formatCode>General</c:formatCode>
                <c:ptCount val="10"/>
              </c:numCache>
            </c:numRef>
          </c:val>
        </c:ser>
        <c:ser>
          <c:idx val="3"/>
          <c:order val="3"/>
          <c:tx>
            <c:strRef>
              <c:f>'[63]BGA 33_Diagramme'!$I$2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'[63]BGA 33_Diagramme'!$C$4:$C$15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'[63]BGA 33_Diagramme'!$I$5:$I$14</c:f>
              <c:numCache>
                <c:formatCode>General</c:formatCode>
                <c:ptCount val="10"/>
              </c:numCache>
            </c:numRef>
          </c:val>
        </c:ser>
        <c:ser>
          <c:idx val="10"/>
          <c:order val="5"/>
          <c:tx>
            <c:strRef>
              <c:f>'[63]BGA 33_Diagramme'!$R$2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dLbls>
            <c:delete val="1"/>
          </c:dLbls>
          <c:val>
            <c:numRef>
              <c:f>'[63]BGA 33_Diagramme'!$R$5:$R$14</c:f>
              <c:numCache>
                <c:formatCode>General</c:formatCode>
                <c:ptCount val="10"/>
              </c:numCache>
            </c:numRef>
          </c:val>
        </c:ser>
        <c:ser>
          <c:idx val="11"/>
          <c:order val="6"/>
          <c:tx>
            <c:strRef>
              <c:f>'[63]BGA 33_Diagramme'!$S$2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delete val="1"/>
          </c:dLbls>
          <c:val>
            <c:numRef>
              <c:f>'[63]BGA 33_Diagramme'!$S$5:$S$14</c:f>
              <c:numCache>
                <c:formatCode>General</c:formatCode>
                <c:ptCount val="10"/>
              </c:numCache>
            </c:numRef>
          </c:val>
        </c:ser>
        <c:ser>
          <c:idx val="13"/>
          <c:order val="7"/>
          <c:tx>
            <c:strRef>
              <c:f>'[63]BGA 33_Diagramme'!$U$2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noFill/>
            </a:ln>
          </c:spPr>
          <c:invertIfNegative val="0"/>
          <c:dLbls>
            <c:delete val="1"/>
          </c:dLbls>
          <c:val>
            <c:numRef>
              <c:f>'[63]BGA 33_Diagramme'!$U$5:$U$14</c:f>
              <c:numCache>
                <c:formatCode>General</c:formatCode>
                <c:ptCount val="1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8030976"/>
        <c:axId val="258041344"/>
      </c:barChart>
      <c:lineChart>
        <c:grouping val="stacked"/>
        <c:varyColors val="0"/>
        <c:ser>
          <c:idx val="7"/>
          <c:order val="4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'[63]BGA 33_Diagramme'!$Z$5:$Z$14</c:f>
              <c:numCache>
                <c:formatCode>General</c:formatCode>
                <c:ptCount val="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053632"/>
        <c:axId val="258043264"/>
      </c:lineChart>
      <c:dateAx>
        <c:axId val="25803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041344"/>
        <c:crosses val="autoZero"/>
        <c:auto val="0"/>
        <c:lblAlgn val="ctr"/>
        <c:lblOffset val="100"/>
        <c:baseTimeUnit val="days"/>
      </c:dateAx>
      <c:valAx>
        <c:axId val="25804134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030976"/>
        <c:crosses val="autoZero"/>
        <c:crossBetween val="between"/>
      </c:valAx>
      <c:catAx>
        <c:axId val="25805363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043264"/>
        <c:crosses val="autoZero"/>
        <c:auto val="1"/>
        <c:lblAlgn val="ctr"/>
        <c:lblOffset val="100"/>
        <c:noMultiLvlLbl val="0"/>
      </c:catAx>
      <c:valAx>
        <c:axId val="25804326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05363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"/>
          <c:y val="0.812987676585513"/>
          <c:w val="1"/>
          <c:h val="0.1769649834685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'[63]BGA 33_Diagramme'!$E$25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'[63]BGA 33_Diagramme'!$D$28:$D$39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'[63]BGA 33_Diagramme'!$E$28:$E$38</c:f>
              <c:numCache>
                <c:formatCode>General</c:formatCode>
                <c:ptCount val="1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9733376"/>
        <c:axId val="259734912"/>
      </c:barChart>
      <c:catAx>
        <c:axId val="2597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734912"/>
        <c:crosses val="autoZero"/>
        <c:auto val="1"/>
        <c:lblAlgn val="ctr"/>
        <c:lblOffset val="100"/>
        <c:noMultiLvlLbl val="1"/>
      </c:catAx>
      <c:valAx>
        <c:axId val="259734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73337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'[63]BGA 33_Diagramme'!$H$47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'[63]BGA 33_Diagramme'!$C$49:$C$60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'[63]BGA 33_Diagramme'!$H$49:$H$60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775872"/>
        <c:axId val="25978176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'[63]BGA 33_Diagramme'!$I$47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'[63]BGA 33_Diagramme'!$C$49:$C$60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'[63]BGA 33_Diagramme'!$I$49:$I$60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catAx>
        <c:axId val="25977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781760"/>
        <c:crosses val="autoZero"/>
        <c:auto val="1"/>
        <c:lblAlgn val="ctr"/>
        <c:lblOffset val="100"/>
        <c:noMultiLvlLbl val="0"/>
      </c:catAx>
      <c:valAx>
        <c:axId val="25978176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775872"/>
        <c:crosses val="autoZero"/>
        <c:crossBetween val="between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'[64]BGA 34_Diagramme'!$D$2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'[64]BGA 34_Diagramme'!$C$4:$C$15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'[64]BGA 34_Diagramme'!$D$4:$D$15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1"/>
          <c:tx>
            <c:strRef>
              <c:f>'[64]BGA 34_Diagramme'!$E$2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'[64]BGA 34_Diagramme'!$C$4:$C$15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'[64]BGA 34_Diagramme'!$E$4:$E$15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'[64]BGA 34_Diagramme'!$F$2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'[64]BGA 34_Diagramme'!$C$4:$C$15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'[64]BGA 34_Diagramme'!$F$4:$F$15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5"/>
          <c:tx>
            <c:strRef>
              <c:f>'[64]BGA 34_Diagramme'!$J$2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'[64]BGA 34_Diagramme'!$C$4:$C$15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'[64]BGA 34_Diagramme'!$J$4:$J$15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127552"/>
        <c:axId val="26113382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'[64]BGA 34_Diagramme'!$I$2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92D050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'[64]BGA 34_Diagramme'!$C$4:$C$15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'[64]BGA 34_Diagramme'!$I$4:$I$15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2"/>
                <c:order val="4"/>
                <c:tx>
                  <c:strRef>
                    <c:extLst>
                      <c:ext uri="{02D57815-91ED-43cb-92C2-25804820EDAC}">
                        <c15:formulaRef>
                          <c15:sqref>'[64]BGA 34_Diagramme'!$H$2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'[64]BGA 34_Diagramme'!$C$4:$C$15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'[64]BGA 34_Diagramme'!$H$4:$H$15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'[64]BGA 34_Diagramme'!$G$2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'[64]BGA 34_Diagramme'!$C$4:$C$15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'[64]BGA 34_Diagramme'!$G$4:$G$15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'[64]BGA 34_Diagramme'!$P$2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'[64]BGA 34_Diagramme'!$Q$2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'[64]BGA 34_Diagramme'!$R$2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34_Diagramme'!$R$4:$R$15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'[64]BGA 34_Diagramme'!$S$2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34_Diagramme'!$S$4:$S$15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'[64]BGA 34_Diagramme'!$T$2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'[64]BGA 34_Diagramme'!$U$2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34_Diagramme'!$U$4:$U$15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'[64]BGA 34_Diagramme'!$K$2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34_Diagramme'!$K$4:$K$15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'[64]BGA 34_Diagramme'!$L$2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'[64]BGA 34_Diagramme'!$M$2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'[64]BGA 34_Diagramme'!$N$2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'[64]BGA 34_Diagramme'!$O$2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'[64]BGA 34_Diagramme'!$O$4:$O$15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'[64]BGA 34_Diagramme'!$Z$4:$Z$15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137920"/>
        <c:axId val="261135744"/>
      </c:lineChart>
      <c:dateAx>
        <c:axId val="26112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133824"/>
        <c:crosses val="autoZero"/>
        <c:auto val="0"/>
        <c:lblAlgn val="ctr"/>
        <c:lblOffset val="100"/>
        <c:baseTimeUnit val="days"/>
      </c:dateAx>
      <c:valAx>
        <c:axId val="2611338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127552"/>
        <c:crosses val="autoZero"/>
        <c:crossBetween val="between"/>
      </c:valAx>
      <c:catAx>
        <c:axId val="26113792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135744"/>
        <c:crosses val="autoZero"/>
        <c:auto val="1"/>
        <c:lblAlgn val="ctr"/>
        <c:lblOffset val="100"/>
        <c:noMultiLvlLbl val="0"/>
      </c:catAx>
      <c:valAx>
        <c:axId val="26113574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137920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208371680629932"/>
          <c:y val="0.898824415471124"/>
          <c:w val="0.61810109362087"/>
          <c:h val="0.08443016512177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158839697214"/>
          <c:y val="0.0556740803953989"/>
          <c:w val="0.845934644551515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'[64]BGA 34_Diagramme'!$E$25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'[64]BGA 34_Diagramme'!$D$28:$D$39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'[64]BGA 34_Diagramme'!$E$28:$E$39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1187456"/>
        <c:axId val="261188992"/>
      </c:barChart>
      <c:catAx>
        <c:axId val="26118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188992"/>
        <c:crosses val="autoZero"/>
        <c:auto val="1"/>
        <c:lblAlgn val="ctr"/>
        <c:lblOffset val="100"/>
        <c:noMultiLvlLbl val="1"/>
      </c:catAx>
      <c:valAx>
        <c:axId val="2611889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1874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'[64]BGA 34_Diagramme'!$H$47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'[64]BGA 34_Diagramme'!$C$49:$C$60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'[64]BGA 34_Diagramme'!$H$49:$H$60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205376"/>
        <c:axId val="26121945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'[64]BGA 34_Diagramme'!$I$47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'[64]BGA 34_Diagramme'!$C$49:$C$60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'[64]BGA 34_Diagramme'!$I$49:$I$60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catAx>
        <c:axId val="2612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219456"/>
        <c:crosses val="autoZero"/>
        <c:auto val="1"/>
        <c:lblAlgn val="ctr"/>
        <c:lblOffset val="100"/>
        <c:noMultiLvlLbl val="0"/>
      </c:catAx>
      <c:valAx>
        <c:axId val="261219456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2053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55339325237048"/>
          <c:h val="0.744558169934641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'[65]BGA 35_Diagramme'!$F$2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'[65]BGA 35_Diagramme'!$C$4:$C$15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'[65]BGA 35_Diagramme'!$F$4:$F$15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'[65]BGA 35_Diagramme'!$I$2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'[65]BGA 35_Diagramme'!$C$4:$C$15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'[65]BGA 35_Diagramme'!$I$4:$I$15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4"/>
          <c:tx>
            <c:strRef>
              <c:f>'[65]BGA 35_Diagramme'!$H$2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'[65]BGA 35_Diagramme'!$C$4:$C$15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'[65]BGA 35_Diagramme'!$H$4:$H$15</c:f>
              <c:numCache>
                <c:formatCode>General</c:formatCode>
                <c:ptCount val="12"/>
              </c:numCache>
            </c:numRef>
          </c:val>
        </c:ser>
        <c:ser>
          <c:idx val="10"/>
          <c:order val="10"/>
          <c:tx>
            <c:strRef>
              <c:f>'[65]BGA 35_Diagramme'!$R$2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noFill/>
            </a:ln>
          </c:spPr>
          <c:invertIfNegative val="0"/>
          <c:dLbls>
            <c:delete val="1"/>
          </c:dLbls>
          <c:val>
            <c:numRef>
              <c:f>'[65]BGA 35_Diagramme'!$R$4:$R$15</c:f>
              <c:numCache>
                <c:formatCode>General</c:formatCode>
                <c:ptCount val="12"/>
              </c:numCache>
            </c:numRef>
          </c:val>
        </c:ser>
        <c:ser>
          <c:idx val="13"/>
          <c:order val="13"/>
          <c:tx>
            <c:strRef>
              <c:f>'[65]BGA 35_Diagramme'!$U$2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noFill/>
            </a:ln>
          </c:spPr>
          <c:invertIfNegative val="0"/>
          <c:dLbls>
            <c:delete val="1"/>
          </c:dLbls>
          <c:val>
            <c:numRef>
              <c:f>'[65]BGA 35_Diagramme'!$U$4:$U$15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047040"/>
        <c:axId val="2610489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'[65]BGA 35_Diagramme'!$D$2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'[65]BGA 35_Diagramme'!$C$4:$C$15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'[65]BGA 35_Diagramme'!$D$4:$D$15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1"/>
                <c:tx>
                  <c:strRef>
                    <c:extLst>
                      <c:ext uri="{02D57815-91ED-43cb-92C2-25804820EDAC}">
                        <c15:formulaRef>
                          <c15:sqref>'[65]BGA 35_Diagramme'!$E$2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75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'[65]BGA 35_Diagramme'!$C$4:$C$15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'[65]BGA 35_Diagramme'!$E$4:$E$15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'[65]BGA 35_Diagramme'!$J$2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'[65]BGA 35_Diagramme'!$C$4:$C$15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'[65]BGA 35_Diagramme'!$J$4:$J$15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'[65]BGA 35_Diagramme'!$G$2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'[65]BGA 35_Diagramme'!$C$4:$C$15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'[65]BGA 35_Diagramme'!$G$4:$G$15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'[65]BGA 35_Diagramme'!$P$2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'[65]BGA 35_Diagramme'!$P$4:$P$15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'[65]BGA 35_Diagramme'!$Q$2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'[65]BGA 35_Diagramme'!$Q$4:$Q$15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'[65]BGA 35_Diagramme'!$S$2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'[65]BGA 35_Diagramme'!$S$4:$S$15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'[65]BGA 35_Diagramme'!$T$2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'[65]BGA 35_Diagramme'!$T$4:$T$15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'[65]BGA 35_Diagramme'!$K$2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'[65]BGA 35_Diagramme'!$K$4:$K$15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'[65]BGA 35_Diagramme'!$L$2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'[65]BGA 35_Diagramme'!$L$4:$L$15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'[65]BGA 35_Diagramme'!$M$2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'[65]BGA 35_Diagramme'!$M$4:$M$15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'[65]BGA 35_Diagramme'!$N$2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'[65]BGA 35_Diagramme'!$N$4:$N$15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'[65]BGA 35_Diagramme'!$O$2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'[65]BGA 35_Diagramme'!$O$4:$O$15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'[65]BGA 35_Diagramme'!$Z$4:$Z$15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069440"/>
        <c:axId val="261067520"/>
      </c:lineChart>
      <c:dateAx>
        <c:axId val="2610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048960"/>
        <c:crosses val="autoZero"/>
        <c:auto val="0"/>
        <c:lblAlgn val="ctr"/>
        <c:lblOffset val="100"/>
        <c:baseTimeUnit val="days"/>
      </c:dateAx>
      <c:valAx>
        <c:axId val="26104896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047040"/>
        <c:crosses val="autoZero"/>
        <c:crossBetween val="between"/>
      </c:valAx>
      <c:catAx>
        <c:axId val="26106944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067520"/>
        <c:crosses val="autoZero"/>
        <c:auto val="1"/>
        <c:lblAlgn val="ctr"/>
        <c:lblOffset val="100"/>
        <c:noMultiLvlLbl val="0"/>
      </c:catAx>
      <c:valAx>
        <c:axId val="261067520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069440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0138915032679739"/>
          <c:y val="0.890243951077173"/>
          <c:w val="0.975944492001047"/>
          <c:h val="0.10975604892282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'[65]BGA 35_Diagramme'!$E$25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'[65]BGA 35_Diagramme'!$D$28:$D$39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'[65]BGA 35_Diagramme'!$E$28:$E$38</c:f>
              <c:numCache>
                <c:formatCode>General</c:formatCode>
                <c:ptCount val="1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1094400"/>
        <c:axId val="261235456"/>
      </c:barChart>
      <c:catAx>
        <c:axId val="26109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1235456"/>
        <c:crosses val="autoZero"/>
        <c:auto val="1"/>
        <c:lblAlgn val="ctr"/>
        <c:lblOffset val="100"/>
        <c:noMultiLvlLbl val="1"/>
      </c:catAx>
      <c:valAx>
        <c:axId val="2612354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FOS/TAC [-]</a:t>
                </a:r>
                <a:endParaRPr lang="de-DE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1094400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6"/>
          <c:order val="1"/>
          <c:tx>
            <c:strRef>
              <c:f>'[66]BGA 36_Diagramme'!$E$2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'[66]BGA 36_Diagramme'!$C$4:$C$15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'[66]BGA 36_Diagramme'!$E$4:$E$15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'[66]BGA 36_Diagramme'!$F$2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'[66]BGA 36_Diagramme'!$C$4:$C$15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'[66]BGA 36_Diagramme'!$F$4:$F$15</c:f>
              <c:numCache>
                <c:formatCode>General</c:formatCode>
                <c:ptCount val="12"/>
              </c:numCache>
            </c:numRef>
          </c:val>
        </c:ser>
        <c:ser>
          <c:idx val="8"/>
          <c:order val="8"/>
          <c:tx>
            <c:strRef>
              <c:f>'[66]BGA 36_Diagramme'!$P$2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</c:spPr>
          <c:invertIfNegative val="0"/>
          <c:dLbls>
            <c:delete val="1"/>
          </c:dLbls>
          <c:val>
            <c:numRef>
              <c:f>'[66]BGA 36_Diagramme'!$P$4:$P$15</c:f>
              <c:numCache>
                <c:formatCode>General</c:formatCode>
                <c:ptCount val="12"/>
              </c:numCache>
            </c:numRef>
          </c:val>
        </c:ser>
        <c:ser>
          <c:idx val="10"/>
          <c:order val="10"/>
          <c:tx>
            <c:strRef>
              <c:f>'[66]BGA 36_Diagramme'!$R$2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dLbls>
            <c:delete val="1"/>
          </c:dLbls>
          <c:val>
            <c:numRef>
              <c:f>'[66]BGA 36_Diagramme'!$R$4:$R$15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901888"/>
        <c:axId val="2612563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'[66]BGA 36_Diagramme'!$D$2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'[66]BGA 36_Diagramme'!$C$4:$C$15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'[66]BGA 36_Diagramme'!$D$4:$D$15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'[66]BGA 36_Diagramme'!$I$2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92D050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'[66]BGA 36_Diagramme'!$C$4:$C$15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'[66]BGA 36_Diagramme'!$I$4:$I$15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2"/>
                <c:order val="4"/>
                <c:tx>
                  <c:strRef>
                    <c:extLst>
                      <c:ext uri="{02D57815-91ED-43cb-92C2-25804820EDAC}">
                        <c15:formulaRef>
                          <c15:sqref>'[66]BGA 36_Diagramme'!$H$2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'[66]BGA 36_Diagramme'!$C$4:$C$15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'[66]BGA 36_Diagramme'!$H$4:$H$15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'[66]BGA 36_Diagramme'!$J$2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'[66]BGA 36_Diagramme'!$C$4:$C$15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'[66]BGA 36_Diagramme'!$J$4:$J$15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'[66]BGA 36_Diagramme'!$G$2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'[66]BGA 36_Diagramme'!$C$4:$C$15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'[66]BGA 36_Diagramme'!$G$4:$G$15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'[66]BGA 36_Diagramme'!$Q$2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'[66]BGA 36_Diagramme'!$S$2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36_Diagramme'!$S$4:$S$15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'[66]BGA 36_Diagramme'!$T$2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'[66]BGA 36_Diagramme'!$U$2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36_Diagramme'!$U$4:$U$15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'[66]BGA 36_Diagramme'!$K$2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36_Diagramme'!$K$4:$K$15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'[66]BGA 36_Diagramme'!$L$2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'[66]BGA 36_Diagramme'!$M$2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'[66]BGA 36_Diagramme'!$N$2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'[66]BGA 36_Diagramme'!$O$2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'[66]BGA 36_Diagramme'!$Z$4:$Z$15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658880"/>
        <c:axId val="261258240"/>
      </c:lineChart>
      <c:dateAx>
        <c:axId val="2609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256320"/>
        <c:crosses val="autoZero"/>
        <c:auto val="0"/>
        <c:lblAlgn val="ctr"/>
        <c:lblOffset val="100"/>
        <c:baseTimeUnit val="days"/>
      </c:dateAx>
      <c:valAx>
        <c:axId val="26125632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901888"/>
        <c:crosses val="autoZero"/>
        <c:crossBetween val="between"/>
      </c:valAx>
      <c:catAx>
        <c:axId val="25965888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258240"/>
        <c:crosses val="autoZero"/>
        <c:auto val="1"/>
        <c:lblAlgn val="ctr"/>
        <c:lblOffset val="100"/>
        <c:noMultiLvlLbl val="0"/>
      </c:catAx>
      <c:valAx>
        <c:axId val="261258240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58880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0138915032679739"/>
          <c:y val="0.878729855005352"/>
          <c:w val="0.970110088006089"/>
          <c:h val="0.12127014499464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'[66]BGA 36_Diagramme'!$E$25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'[66]BGA 36_Diagramme'!$D$28:$D$39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'[66]BGA 36_Diagramme'!$E$28:$E$38</c:f>
              <c:numCache>
                <c:formatCode>General</c:formatCode>
                <c:ptCount val="1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59712512"/>
        <c:axId val="259714048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'[66]BGA 36_Diagramme'!$F$25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'[66]BGA 36_Diagramme'!$F$28:$F$39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catAx>
        <c:axId val="2597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714048"/>
        <c:crosses val="autoZero"/>
        <c:auto val="1"/>
        <c:lblAlgn val="ctr"/>
        <c:lblOffset val="100"/>
        <c:noMultiLvlLbl val="1"/>
      </c:catAx>
      <c:valAx>
        <c:axId val="259714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>
                    <a:solidFill>
                      <a:sysClr val="windowText" lastClr="000000"/>
                    </a:solidFill>
                  </a:rPr>
                  <a:t>FOS/TAC [-]</a:t>
                </a:r>
                <a:endParaRPr lang="de-DE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59712512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'[66]BGA 36_Diagramme'!$H$47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'[66]BGA 36_Diagramme'!$C$49:$C$60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'[66]BGA 36_Diagramme'!$H$49:$H$60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704704"/>
        <c:axId val="26171059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'[66]BGA 36_Diagramme'!$I$47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'[66]BGA 36_Diagramme'!$C$49:$C$60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'[66]BGA 36_Diagramme'!$I$49:$I$60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catAx>
        <c:axId val="26170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710592"/>
        <c:crosses val="autoZero"/>
        <c:auto val="1"/>
        <c:lblAlgn val="ctr"/>
        <c:lblOffset val="100"/>
        <c:noMultiLvlLbl val="0"/>
      </c:catAx>
      <c:valAx>
        <c:axId val="261710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7047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669058487517922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'[67]BGA 37_Diagramme'!$F$2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'[67]BGA 37_Diagramme'!$C$4:$C$15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'[67]BGA 37_Diagramme'!$F$4:$F$15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'[67]BGA 37_Diagramme'!$I$2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'[67]BGA 37_Diagramme'!$C$4:$C$15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'[67]BGA 37_Diagramme'!$I$4:$I$15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5"/>
          <c:tx>
            <c:strRef>
              <c:f>'[67]BGA 37_Diagramme'!$J$2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'[67]BGA 37_Diagramme'!$C$4:$C$15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'[67]BGA 37_Diagramme'!$J$4:$J$15</c:f>
              <c:numCache>
                <c:formatCode>General</c:formatCode>
                <c:ptCount val="12"/>
              </c:numCache>
            </c:numRef>
          </c:val>
        </c:ser>
        <c:ser>
          <c:idx val="14"/>
          <c:order val="14"/>
          <c:tx>
            <c:strRef>
              <c:f>'[67]BGA 37_Diagramme'!$K$2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noFill/>
            </a:ln>
          </c:spPr>
          <c:invertIfNegative val="0"/>
          <c:dLbls>
            <c:delete val="1"/>
          </c:dLbls>
          <c:val>
            <c:numRef>
              <c:f>'[67]BGA 37_Diagramme'!$K$4:$K$15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823488"/>
        <c:axId val="2618420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'[67]BGA 37_Diagramme'!$D$2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'[67]BGA 37_Diagramme'!$C$4:$C$15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'[67]BGA 37_Diagramme'!$D$4:$D$15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1"/>
                <c:tx>
                  <c:strRef>
                    <c:extLst>
                      <c:ext uri="{02D57815-91ED-43cb-92C2-25804820EDAC}">
                        <c15:formulaRef>
                          <c15:sqref>'[67]BGA 37_Diagramme'!$E$2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75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'[67]BGA 37_Diagramme'!$C$4:$C$15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'[67]BGA 37_Diagramme'!$E$4:$E$15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2"/>
                <c:order val="4"/>
                <c:tx>
                  <c:strRef>
                    <c:extLst>
                      <c:ext uri="{02D57815-91ED-43cb-92C2-25804820EDAC}">
                        <c15:formulaRef>
                          <c15:sqref>'[67]BGA 37_Diagramme'!$H$2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'[67]BGA 37_Diagramme'!$C$4:$C$15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'[67]BGA 37_Diagramme'!$H$4:$H$15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'[67]BGA 37_Diagramme'!$G$2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'[67]BGA 37_Diagramme'!$C$4:$C$15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'[67]BGA 37_Diagramme'!$G$4:$G$15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'[67]BGA 37_Diagramme'!$P$2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'[67]BGA 37_Diagramme'!$Q$2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'[67]BGA 37_Diagramme'!$R$2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37_Diagramme'!$R$4:$R$15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'[67]BGA 37_Diagramme'!$S$2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37_Diagramme'!$S$4:$S$15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'[67]BGA 37_Diagramme'!$T$2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'[67]BGA 37_Diagramme'!$U$2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37_Diagramme'!$U$4:$U$15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'[67]BGA 37_Diagramme'!$L$2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'[67]BGA 37_Diagramme'!$M$2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'[67]BGA 37_Diagramme'!$N$2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'[67]BGA 37_Diagramme'!$O$2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'[67]BGA 37_Diagramme'!$O$4:$O$15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'[67]BGA 37_Diagramme'!$Z$4:$Z$15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854336"/>
        <c:axId val="261843968"/>
      </c:lineChart>
      <c:dateAx>
        <c:axId val="26182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842048"/>
        <c:crosses val="autoZero"/>
        <c:auto val="0"/>
        <c:lblAlgn val="ctr"/>
        <c:lblOffset val="100"/>
        <c:baseTimeUnit val="days"/>
      </c:dateAx>
      <c:valAx>
        <c:axId val="2618420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823488"/>
        <c:crosses val="autoZero"/>
        <c:crossBetween val="between"/>
      </c:valAx>
      <c:catAx>
        <c:axId val="26185433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843968"/>
        <c:crosses val="autoZero"/>
        <c:auto val="1"/>
        <c:lblAlgn val="ctr"/>
        <c:lblOffset val="100"/>
        <c:noMultiLvlLbl val="0"/>
      </c:catAx>
      <c:valAx>
        <c:axId val="26184396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85433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0138915032679739"/>
          <c:y val="0.802587746326516"/>
          <c:w val="0.983723697327659"/>
          <c:h val="0.19741225367348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'[67]BGA 37_Diagramme'!$E$25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'[67]BGA 37_Diagramme'!$D$28:$D$39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'[67]BGA 37_Diagramme'!$E$28:$E$38</c:f>
              <c:numCache>
                <c:formatCode>General</c:formatCode>
                <c:ptCount val="11"/>
              </c:numCache>
            </c:numRef>
          </c:val>
        </c:ser>
        <c:ser>
          <c:idx val="0"/>
          <c:order val="1"/>
          <c:tx>
            <c:strRef>
              <c:f>'[67]BGA 37_Diagramme'!$F$25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'[67]BGA 37_Diagramme'!$F$28:$F$38</c:f>
              <c:numCache>
                <c:formatCode>General</c:formatCode>
                <c:ptCount val="1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1872256"/>
        <c:axId val="261878144"/>
      </c:barChart>
      <c:catAx>
        <c:axId val="26187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878144"/>
        <c:crosses val="autoZero"/>
        <c:auto val="1"/>
        <c:lblAlgn val="ctr"/>
        <c:lblOffset val="100"/>
        <c:noMultiLvlLbl val="1"/>
      </c:catAx>
      <c:valAx>
        <c:axId val="261878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87225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8780267406325"/>
          <c:y val="0.066052945045958"/>
          <c:w val="0.532798612290274"/>
          <c:h val="0.08104870092297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44086021505"/>
          <c:y val="0.0458700191212994"/>
          <c:w val="0.86985658238884"/>
          <c:h val="0.8414731459299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'[67]BGA 37_Diagramme'!$H$47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'[67]BGA 37_Diagramme'!$C$49:$C$60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'[67]BGA 37_Diagramme'!$H$49:$H$60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'[67]BGA 37_Diagramme'!$I$47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'[67]BGA 37_Diagramme'!$C$49:$C$60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'[67]BGA 37_Diagramme'!$I$49:$I$60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994368"/>
        <c:axId val="261995904"/>
      </c:barChart>
      <c:catAx>
        <c:axId val="26199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995904"/>
        <c:crosses val="autoZero"/>
        <c:auto val="1"/>
        <c:lblAlgn val="ctr"/>
        <c:lblOffset val="100"/>
        <c:noMultiLvlLbl val="0"/>
      </c:catAx>
      <c:valAx>
        <c:axId val="261995904"/>
        <c:scaling>
          <c:orientation val="minMax"/>
          <c:max val="1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1994368"/>
        <c:crosses val="autoZero"/>
        <c:crossBetween val="between"/>
        <c:majorUnit val="1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91728712583551"/>
          <c:y val="0.0490941192846729"/>
          <c:w val="0.76417407730311"/>
          <c:h val="0.0763079042030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8254687656573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'[68]BGA 38_Diagramme'!$F$2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'[68]BGA 38_Diagramme'!$C$4:$C$15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'[68]BGA 38_Diagramme'!$F$4:$F$15</c:f>
              <c:numCache>
                <c:formatCode>General</c:formatCode>
                <c:ptCount val="12"/>
              </c:numCache>
            </c:numRef>
          </c:val>
        </c:ser>
        <c:ser>
          <c:idx val="8"/>
          <c:order val="8"/>
          <c:tx>
            <c:strRef>
              <c:f>'[68]BGA 38_Diagramme'!$P$2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</c:spPr>
          <c:invertIfNegative val="0"/>
          <c:dLbls>
            <c:delete val="1"/>
          </c:dLbls>
          <c:val>
            <c:numRef>
              <c:f>'[68]BGA 38_Diagramme'!$P$4:$P$15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468160"/>
        <c:axId val="2614700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'[68]BGA 38_Diagramme'!$D$2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'[68]BGA 38_Diagramme'!$C$4:$C$15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'[68]BGA 38_Diagramme'!$D$4:$D$15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1"/>
                <c:tx>
                  <c:strRef>
                    <c:extLst>
                      <c:ext uri="{02D57815-91ED-43cb-92C2-25804820EDAC}">
                        <c15:formulaRef>
                          <c15:sqref>'[68]BGA 38_Diagramme'!$E$2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75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'[68]BGA 38_Diagramme'!$C$4:$C$15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'[68]BGA 38_Diagramme'!$E$4:$E$15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'[68]BGA 38_Diagramme'!$I$2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92D050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'[68]BGA 38_Diagramme'!$C$4:$C$15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'[68]BGA 38_Diagramme'!$I$4:$I$15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2"/>
                <c:order val="4"/>
                <c:tx>
                  <c:strRef>
                    <c:extLst>
                      <c:ext uri="{02D57815-91ED-43cb-92C2-25804820EDAC}">
                        <c15:formulaRef>
                          <c15:sqref>'[68]BGA 38_Diagramme'!$H$2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'[68]BGA 38_Diagramme'!$C$4:$C$15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'[68]BGA 38_Diagramme'!$H$4:$H$15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'[68]BGA 38_Diagramme'!$J$2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'[68]BGA 38_Diagramme'!$C$4:$C$15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'[68]BGA 38_Diagramme'!$J$4:$J$15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'[68]BGA 38_Diagramme'!$G$2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'[68]BGA 38_Diagramme'!$C$4:$C$15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'[68]BGA 38_Diagramme'!$G$4:$G$15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'[68]BGA 38_Diagramme'!$Q$2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'[68]BGA 38_Diagramme'!$R$2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38_Diagramme'!$R$4:$R$15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'[68]BGA 38_Diagramme'!$S$2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38_Diagramme'!$S$4:$S$15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'[68]BGA 38_Diagramme'!$T$2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'[68]BGA 38_Diagramme'!$U$2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38_Diagramme'!$U$4:$U$15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'[68]BGA 38_Diagramme'!$K$2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38_Diagramme'!$K$4:$K$15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'[68]BGA 38_Diagramme'!$L$2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'[68]BGA 38_Diagramme'!$M$2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'[68]BGA 38_Diagramme'!$N$2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'[68]BGA 38_Diagramme'!$O$2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'[68]BGA 38_Diagramme'!$Z$4:$Z$15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498752"/>
        <c:axId val="261496832"/>
      </c:lineChart>
      <c:dateAx>
        <c:axId val="2614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470080"/>
        <c:crosses val="autoZero"/>
        <c:auto val="0"/>
        <c:lblAlgn val="ctr"/>
        <c:lblOffset val="100"/>
        <c:baseTimeUnit val="days"/>
      </c:dateAx>
      <c:valAx>
        <c:axId val="26147008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468160"/>
        <c:crosses val="autoZero"/>
        <c:crossBetween val="between"/>
      </c:valAx>
      <c:catAx>
        <c:axId val="2614987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496832"/>
        <c:crosses val="autoZero"/>
        <c:auto val="1"/>
        <c:lblAlgn val="ctr"/>
        <c:lblOffset val="100"/>
        <c:noMultiLvlLbl val="0"/>
      </c:catAx>
      <c:valAx>
        <c:axId val="26149683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35042755614856"/>
              <c:y val="0.088091948911510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49875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0883007443931404"/>
          <c:y val="0.915569834878229"/>
          <c:w val="0.61810109362087"/>
          <c:h val="0.08443016512177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'[68]BGA 38_Diagramme'!$E$25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'[68]BGA 38_Diagramme'!$D$28:$D$39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'[68]BGA 38_Diagramme'!$E$28:$E$38</c:f>
              <c:numCache>
                <c:formatCode>General</c:formatCode>
                <c:ptCount val="1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1536000"/>
        <c:axId val="261545984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'[68]BGA 38_Diagramme'!$F$25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'[68]BGA 38_Diagramme'!$F$28:$F$39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catAx>
        <c:axId val="26153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1545984"/>
        <c:crosses val="autoZero"/>
        <c:auto val="1"/>
        <c:lblAlgn val="ctr"/>
        <c:lblOffset val="100"/>
        <c:noMultiLvlLbl val="1"/>
      </c:catAx>
      <c:valAx>
        <c:axId val="261545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1536000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86240918337693"/>
          <c:y val="0.0458700191212994"/>
          <c:w val="0.881076576576577"/>
          <c:h val="0.8414731459299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'[68]BGA 38_Diagramme'!$H$47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'[68]BGA 38_Diagramme'!$C$49:$C$60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'[68]BGA 38_Diagramme'!$H$49:$H$60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'[68]BGA 38_Diagramme'!$I$47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'[68]BGA 38_Diagramme'!$C$49:$C$60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'[68]BGA 38_Diagramme'!$I$49:$I$60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2493312"/>
        <c:axId val="262494848"/>
      </c:barChart>
      <c:catAx>
        <c:axId val="26249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2494848"/>
        <c:crosses val="autoZero"/>
        <c:auto val="1"/>
        <c:lblAlgn val="ctr"/>
        <c:lblOffset val="100"/>
        <c:noMultiLvlLbl val="0"/>
      </c:catAx>
      <c:valAx>
        <c:axId val="262494848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249331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559386806161"/>
          <c:y val="0.0490941192846729"/>
          <c:w val="0.82691746585295"/>
          <c:h val="0.0763079042030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63552463714938"/>
        </c:manualLayout>
      </c:layout>
      <c:barChart>
        <c:barDir val="col"/>
        <c:grouping val="stacked"/>
        <c:varyColors val="0"/>
        <c:ser>
          <c:idx val="6"/>
          <c:order val="1"/>
          <c:tx>
            <c:strRef>
              <c:f>'[69]BGA 39_Diagramme'!$E$2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'[69]BGA 39_Diagramme'!$C$4:$C$15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'[69]BGA 39_Diagramme'!$E$4:$E$15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'[69]BGA 39_Diagramme'!$F$2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'[69]BGA 39_Diagramme'!$C$4:$C$15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'[69]BGA 39_Diagramme'!$F$4:$F$15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'[69]BGA 39_Diagramme'!$I$2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'[69]BGA 39_Diagramme'!$C$4:$C$15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'[69]BGA 39_Diagramme'!$I$4:$I$15</c:f>
              <c:numCache>
                <c:formatCode>General</c:formatCode>
                <c:ptCount val="12"/>
              </c:numCache>
            </c:numRef>
          </c:val>
        </c:ser>
        <c:ser>
          <c:idx val="8"/>
          <c:order val="8"/>
          <c:tx>
            <c:strRef>
              <c:f>'[69]BGA 39_Diagramme'!$P$2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</c:spPr>
          <c:invertIfNegative val="0"/>
          <c:dLbls>
            <c:delete val="1"/>
          </c:dLbls>
          <c:val>
            <c:numRef>
              <c:f>'[69]BGA 39_Diagramme'!$P$4:$P$15</c:f>
              <c:numCache>
                <c:formatCode>General</c:formatCode>
                <c:ptCount val="12"/>
              </c:numCache>
            </c:numRef>
          </c:val>
        </c:ser>
        <c:ser>
          <c:idx val="10"/>
          <c:order val="10"/>
          <c:tx>
            <c:strRef>
              <c:f>'[69]BGA 39_Diagramme'!$R$2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dLbls>
            <c:delete val="1"/>
          </c:dLbls>
          <c:val>
            <c:numRef>
              <c:f>'[69]BGA 39_Diagramme'!$R$4:$R$15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9918464"/>
        <c:axId val="2599329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'[69]BGA 39_Diagramme'!$D$2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'[69]BGA 39_Diagramme'!$C$4:$C$15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'[69]BGA 39_Diagramme'!$D$4:$D$15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2"/>
                <c:order val="4"/>
                <c:tx>
                  <c:strRef>
                    <c:extLst>
                      <c:ext uri="{02D57815-91ED-43cb-92C2-25804820EDAC}">
                        <c15:formulaRef>
                          <c15:sqref>'[69]BGA 39_Diagramme'!$H$2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'[69]BGA 39_Diagramme'!$C$4:$C$15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'[69]BGA 39_Diagramme'!$H$4:$H$15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'[69]BGA 39_Diagramme'!$J$2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'[69]BGA 39_Diagramme'!$C$4:$C$15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'[69]BGA 39_Diagramme'!$J$4:$J$15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"/>
                <c:order val="6"/>
                <c:tx>
                  <c:strRef>
                    <c:extLst>
                      <c:ext uri="{02D57815-91ED-43cb-92C2-25804820EDAC}">
                        <c15:formulaRef>
                          <c15:sqref>'[69]BGA 39_Diagramme'!$G$2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'[69]BGA 39_Diagramme'!$C$4:$C$15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'[69]BGA 39_Diagramme'!$G$4:$G$15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'[69]BGA 39_Diagramme'!$Q$2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39_Diagramme'!$Q$4:$Q$15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'[69]BGA 39_Diagramme'!$S$2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39_Diagramme'!$S$4:$S$15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uri="{02D57815-91ED-43cb-92C2-25804820EDAC}">
                        <c15:formulaRef>
                          <c15:sqref>'[69]BGA 39_Diagramme'!$T$2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39_Diagramme'!$T$4:$T$15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'[69]BGA 39_Diagramme'!$U$2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39_Diagramme'!$U$4:$U$15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'[69]BGA 39_Diagramme'!$K$2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39_Diagramme'!$K$4:$K$15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'[69]BGA 39_Diagramme'!$L$2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39_Diagramme'!$L$4:$L$15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'[69]BGA 39_Diagramme'!$M$2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39_Diagramme'!$M$4:$M$15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'[69]BGA 39_Diagramme'!$N$2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39_Diagramme'!$N$4:$N$15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uri="{02D57815-91ED-43cb-92C2-25804820EDAC}">
                        <c15:formulaRef>
                          <c15:sqref>'[69]BGA 39_Diagramme'!$O$2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>
                    <a:noFill/>
                  </a:ln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39_Diagramme'!$O$4:$O$15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'[69]BGA 39_Diagramme'!$Z$4:$Z$15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941120"/>
        <c:axId val="259934848"/>
      </c:lineChart>
      <c:dateAx>
        <c:axId val="2599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932928"/>
        <c:crosses val="autoZero"/>
        <c:auto val="0"/>
        <c:lblAlgn val="ctr"/>
        <c:lblOffset val="100"/>
        <c:baseTimeUnit val="days"/>
      </c:dateAx>
      <c:valAx>
        <c:axId val="2599329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918464"/>
        <c:crosses val="autoZero"/>
        <c:crossBetween val="between"/>
      </c:valAx>
      <c:catAx>
        <c:axId val="25994112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934848"/>
        <c:crosses val="autoZero"/>
        <c:auto val="1"/>
        <c:lblAlgn val="ctr"/>
        <c:lblOffset val="100"/>
        <c:noMultiLvlLbl val="0"/>
      </c:catAx>
      <c:valAx>
        <c:axId val="25993484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941120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0138915032679739"/>
          <c:y val="0.906072628452833"/>
          <c:w val="0.966220485342783"/>
          <c:h val="0.093927371547167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'[69]BGA 39_Diagramme'!$E$25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'[69]BGA 39_Diagramme'!$D$28:$D$39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'[69]BGA 39_Diagramme'!$E$28:$E$38</c:f>
              <c:numCache>
                <c:formatCode>General</c:formatCode>
                <c:ptCount val="1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2538368"/>
        <c:axId val="262539904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'[69]BGA 39_Diagramme'!$F$25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'[69]BGA 39_Diagramme'!$F$28:$F$39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catAx>
        <c:axId val="26253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2539904"/>
        <c:crosses val="autoZero"/>
        <c:auto val="1"/>
        <c:lblAlgn val="ctr"/>
        <c:lblOffset val="100"/>
        <c:noMultiLvlLbl val="1"/>
      </c:catAx>
      <c:valAx>
        <c:axId val="26253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2538368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44086021505"/>
          <c:y val="0.0458700191212994"/>
          <c:w val="0.86985658238884"/>
          <c:h val="0.8377514524128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'[69]BGA 39_Diagramme'!$H$47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'[69]BGA 39_Diagramme'!$C$49:$C$60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'[69]BGA 39_Diagramme'!$H$49:$H$60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'[69]BGA 39_Diagramme'!$I$47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'[69]BGA 39_Diagramme'!$C$49:$C$60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'[69]BGA 39_Diagramme'!$I$49:$I$60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2578176"/>
        <c:axId val="262579712"/>
      </c:barChart>
      <c:catAx>
        <c:axId val="2625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2579712"/>
        <c:crosses val="autoZero"/>
        <c:auto val="1"/>
        <c:lblAlgn val="ctr"/>
        <c:lblOffset val="100"/>
        <c:noMultiLvlLbl val="0"/>
      </c:catAx>
      <c:valAx>
        <c:axId val="26257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25781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12028044173205"/>
          <c:y val="0.0528158128017466"/>
          <c:w val="0.76417407730311"/>
          <c:h val="0.0763079042030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960964052287582"/>
          <c:y val="0.0502593799151502"/>
          <c:w val="0.814928758169935"/>
          <c:h val="0.761066025448352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'[72]BGA 40_Diagramme 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'[72]BGA 40_Diagramme 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'[72]BGA 40_Diagramme '!$G$4:$G$15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2"/>
          <c:tx>
            <c:strRef>
              <c:f>'[72]BGA 40_Diagramme 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val>
            <c:numRef>
              <c:f>'[72]BGA 40_Diagramme '!$F$4:$F$15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3"/>
          <c:tx>
            <c:strRef>
              <c:f>'[72]BGA 40_Diagramme 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</c:spPr>
          <c:invertIfNegative val="0"/>
          <c:dLbls>
            <c:delete val="1"/>
          </c:dLbls>
          <c:val>
            <c:numRef>
              <c:f>'[72]BGA 40_Diagramme '!$C$4:$C$15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4"/>
          <c:tx>
            <c:strRef>
              <c:f>'[72]BGA 40_Diagramme 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ED7D31"/>
            </a:solidFill>
          </c:spPr>
          <c:invertIfNegative val="0"/>
          <c:dLbls>
            <c:delete val="1"/>
          </c:dLbls>
          <c:val>
            <c:numRef>
              <c:f>'[72]BGA 40_Diagramme '!$D$4:$D$15</c:f>
              <c:numCache>
                <c:formatCode>General</c:formatCode>
                <c:ptCount val="12"/>
              </c:numCache>
            </c:numRef>
          </c:val>
        </c:ser>
        <c:ser>
          <c:idx val="7"/>
          <c:order val="7"/>
          <c:tx>
            <c:strRef>
              <c:f>'[72]BGA 40_Diagramme 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val>
            <c:numRef>
              <c:f>'[72]BGA 40_Diagramme '!$E$4:$E$15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62206976"/>
        <c:axId val="262208896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'[72]BGA 40_Diagramme 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FFC000">
                      <a:lumMod val="75000"/>
                    </a:srgb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'[72]BGA 40_Diagramme '!$A$4:$A$15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'[72]BGA 40_Diagramme 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4"/>
                <c:order val="5"/>
                <c:tx>
                  <c:strRef>
                    <c:extLst>
                      <c:ext uri="{02D57815-91ED-43cb-92C2-25804820EDAC}">
                        <c15:formulaRef>
                          <c15:sqref>'[72]BGA 40_Diagramme '!$B$2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'[72]BGA 40_Diagramme '!$B$4:$B$15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'[72]BGA 40_Diagramme 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'[72]BGA 40_Diagramme 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8"/>
          <c:order val="8"/>
          <c:tx>
            <c:strRef>
              <c:f>'[72]BGA 40_Diagramme 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ysClr val="windowText" lastClr="000000"/>
              </a:solidFill>
              <a:ln w="6350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'[72]BGA 40_Diagramme '!$J$4:$J$15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643072"/>
        <c:axId val="262641152"/>
      </c:lineChart>
      <c:catAx>
        <c:axId val="26220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2208896"/>
        <c:crosses val="autoZero"/>
        <c:auto val="1"/>
        <c:lblAlgn val="ctr"/>
        <c:lblOffset val="100"/>
        <c:noMultiLvlLbl val="1"/>
      </c:catAx>
      <c:valAx>
        <c:axId val="26220889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2206976"/>
        <c:crosses val="autoZero"/>
        <c:crossBetween val="between"/>
      </c:valAx>
      <c:catAx>
        <c:axId val="26264307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2641152"/>
        <c:crosses val="autoZero"/>
        <c:auto val="1"/>
        <c:lblAlgn val="ctr"/>
        <c:lblOffset val="100"/>
        <c:noMultiLvlLbl val="0"/>
      </c:catAx>
      <c:valAx>
        <c:axId val="26264115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ysClr val="windowText" lastClr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2643072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0732198855745703"/>
          <c:y val="0.88177260405336"/>
          <c:w val="0.864162817614007"/>
          <c:h val="0.116686360370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Fütterungsmenge BGA Gesamt</a:t>
            </a:r>
            <a:endParaRPr lang="de-DE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94951346296277"/>
          <c:y val="0.131760386502607"/>
          <c:w val="0.701478758588206"/>
          <c:h val="0.698866609285175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[19]Auswertung!$Q$2</c:f>
              <c:strCache>
                <c:ptCount val="1"/>
                <c:pt idx="0">
                  <c:v>Futterreste + 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[19]Auswertung!$Q$4:$Q$15</c:f>
              <c:numCache>
                <c:formatCode>General</c:formatCode>
                <c:ptCount val="12"/>
                <c:pt idx="0">
                  <c:v>4.47894893998208</c:v>
                </c:pt>
                <c:pt idx="1">
                  <c:v>4.67241826282504</c:v>
                </c:pt>
                <c:pt idx="2">
                  <c:v>4.2032348095094</c:v>
                </c:pt>
                <c:pt idx="3">
                  <c:v>5.19053621252935</c:v>
                </c:pt>
                <c:pt idx="4">
                  <c:v>4.5522308280596</c:v>
                </c:pt>
                <c:pt idx="5">
                  <c:v>4.78488523110996</c:v>
                </c:pt>
                <c:pt idx="6">
                  <c:v>4.26979130912903</c:v>
                </c:pt>
                <c:pt idx="7">
                  <c:v>4.52330951861131</c:v>
                </c:pt>
                <c:pt idx="8">
                  <c:v>4.62815326532635</c:v>
                </c:pt>
                <c:pt idx="9">
                  <c:v>4.91525445944653</c:v>
                </c:pt>
                <c:pt idx="10">
                  <c:v>4.72412914488995</c:v>
                </c:pt>
                <c:pt idx="11">
                  <c:v>4.45349573556234</c:v>
                </c:pt>
              </c:numCache>
            </c:numRef>
          </c:val>
        </c:ser>
        <c:ser>
          <c:idx val="6"/>
          <c:order val="1"/>
          <c:tx>
            <c:strRef>
              <c:f>[19]Auswertung!$R$2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[19]Auswertung!$R$4:$R$15</c:f>
              <c:numCache>
                <c:formatCode>General</c:formatCode>
                <c:ptCount val="12"/>
                <c:pt idx="0">
                  <c:v>55.4792475365781</c:v>
                </c:pt>
                <c:pt idx="1">
                  <c:v>56.4910440292524</c:v>
                </c:pt>
                <c:pt idx="2">
                  <c:v>61.1990988264568</c:v>
                </c:pt>
                <c:pt idx="3">
                  <c:v>62.4873585327727</c:v>
                </c:pt>
                <c:pt idx="4">
                  <c:v>57.5636930515923</c:v>
                </c:pt>
                <c:pt idx="5">
                  <c:v>59.1275103558587</c:v>
                </c:pt>
                <c:pt idx="6">
                  <c:v>62.366500153988</c:v>
                </c:pt>
                <c:pt idx="7">
                  <c:v>59.5870640585063</c:v>
                </c:pt>
                <c:pt idx="8">
                  <c:v>58.6431807296836</c:v>
                </c:pt>
                <c:pt idx="9">
                  <c:v>57.1480251818316</c:v>
                </c:pt>
                <c:pt idx="10">
                  <c:v>49.7405081578091</c:v>
                </c:pt>
                <c:pt idx="11">
                  <c:v>50.5687257715466</c:v>
                </c:pt>
              </c:numCache>
            </c:numRef>
          </c:val>
        </c:ser>
        <c:ser>
          <c:idx val="1"/>
          <c:order val="2"/>
          <c:tx>
            <c:strRef>
              <c:f>[19]Auswertung!$M$2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[19]Auswertung!$M$4:$M$15</c:f>
              <c:numCache>
                <c:formatCode>General</c:formatCode>
                <c:ptCount val="12"/>
                <c:pt idx="0">
                  <c:v>1.58256195879367</c:v>
                </c:pt>
                <c:pt idx="1">
                  <c:v>2.0679218892245</c:v>
                </c:pt>
                <c:pt idx="2">
                  <c:v>2.18568210094489</c:v>
                </c:pt>
                <c:pt idx="3">
                  <c:v>1.03140977642519</c:v>
                </c:pt>
                <c:pt idx="4">
                  <c:v>2.03235079549499</c:v>
                </c:pt>
                <c:pt idx="5">
                  <c:v>2.01648734739634</c:v>
                </c:pt>
                <c:pt idx="6">
                  <c:v>1.70791652365161</c:v>
                </c:pt>
                <c:pt idx="7">
                  <c:v>1.11574968125746</c:v>
                </c:pt>
                <c:pt idx="8">
                  <c:v>1.80945863147598</c:v>
                </c:pt>
                <c:pt idx="9">
                  <c:v>1.82192098630151</c:v>
                </c:pt>
                <c:pt idx="10">
                  <c:v>1.85771044928602</c:v>
                </c:pt>
                <c:pt idx="11">
                  <c:v>3.18927759127368</c:v>
                </c:pt>
              </c:numCache>
            </c:numRef>
          </c:val>
        </c:ser>
        <c:ser>
          <c:idx val="2"/>
          <c:order val="3"/>
          <c:tx>
            <c:strRef>
              <c:f>[19]Auswertung!$N$2</c:f>
              <c:strCache>
                <c:ptCount val="1"/>
                <c:pt idx="0">
                  <c:v>Roggen-GPS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[19]Auswertung!$N$4:$N$15</c:f>
              <c:numCache>
                <c:formatCode>General</c:formatCode>
                <c:ptCount val="12"/>
                <c:pt idx="0">
                  <c:v>4.59540161242162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6.53886131249091</c:v>
                </c:pt>
                <c:pt idx="10">
                  <c:v>18.9451598706259</c:v>
                </c:pt>
                <c:pt idx="11">
                  <c:v>20.4584974422568</c:v>
                </c:pt>
              </c:numCache>
            </c:numRef>
          </c:val>
        </c:ser>
        <c:ser>
          <c:idx val="4"/>
          <c:order val="4"/>
          <c:tx>
            <c:strRef>
              <c:f>[19]Auswertung!$P$2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[19]Auswertung!$P$4:$P$15</c:f>
              <c:numCache>
                <c:formatCode>General</c:formatCode>
                <c:ptCount val="12"/>
                <c:pt idx="0">
                  <c:v>31.1024186324276</c:v>
                </c:pt>
                <c:pt idx="1">
                  <c:v>33.8904061687979</c:v>
                </c:pt>
                <c:pt idx="2">
                  <c:v>29.266283331652</c:v>
                </c:pt>
                <c:pt idx="3">
                  <c:v>26.9230099484161</c:v>
                </c:pt>
                <c:pt idx="4">
                  <c:v>33.0085487958028</c:v>
                </c:pt>
                <c:pt idx="5">
                  <c:v>30.2354163533706</c:v>
                </c:pt>
                <c:pt idx="6">
                  <c:v>28.9616914323745</c:v>
                </c:pt>
                <c:pt idx="7">
                  <c:v>30.9129003581255</c:v>
                </c:pt>
                <c:pt idx="8">
                  <c:v>29.9537662418321</c:v>
                </c:pt>
                <c:pt idx="9">
                  <c:v>26.3373752016893</c:v>
                </c:pt>
                <c:pt idx="10">
                  <c:v>21.8132853483725</c:v>
                </c:pt>
                <c:pt idx="11">
                  <c:v>18.5866500862542</c:v>
                </c:pt>
              </c:numCache>
            </c:numRef>
          </c:val>
        </c:ser>
        <c:ser>
          <c:idx val="3"/>
          <c:order val="5"/>
          <c:tx>
            <c:strRef>
              <c:f>[19]Auswertung!$O$2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[19]Auswertung!$O$4:$O$15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0.554266563547306</c:v>
                </c:pt>
                <c:pt idx="3">
                  <c:v>1.17031522293855</c:v>
                </c:pt>
                <c:pt idx="4">
                  <c:v>0.0390023389655687</c:v>
                </c:pt>
                <c:pt idx="5">
                  <c:v>0.880008749504423</c:v>
                </c:pt>
                <c:pt idx="6">
                  <c:v>0.0639091344334152</c:v>
                </c:pt>
                <c:pt idx="7">
                  <c:v>1.07220528829162</c:v>
                </c:pt>
                <c:pt idx="8">
                  <c:v>2.11449872024097</c:v>
                </c:pt>
                <c:pt idx="9">
                  <c:v>0.208144642176029</c:v>
                </c:pt>
                <c:pt idx="10">
                  <c:v>0.00914347576430314</c:v>
                </c:pt>
                <c:pt idx="11">
                  <c:v>0</c:v>
                </c:pt>
              </c:numCache>
            </c:numRef>
          </c:val>
        </c:ser>
        <c:ser>
          <c:idx val="0"/>
          <c:order val="7"/>
          <c:tx>
            <c:strRef>
              <c:f>[19]Auswertung!$L$2</c:f>
              <c:strCache>
                <c:ptCount val="1"/>
                <c:pt idx="0">
                  <c:v>Prozesswasser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[19]Auswertung!$L$4:$L$15</c:f>
              <c:numCache>
                <c:formatCode>General</c:formatCode>
                <c:ptCount val="12"/>
                <c:pt idx="0">
                  <c:v>2.68736936398925</c:v>
                </c:pt>
                <c:pt idx="1">
                  <c:v>2.80345095769502</c:v>
                </c:pt>
                <c:pt idx="2">
                  <c:v>2.52194088570564</c:v>
                </c:pt>
                <c:pt idx="3">
                  <c:v>3.11432172751761</c:v>
                </c:pt>
                <c:pt idx="4">
                  <c:v>2.73133849683576</c:v>
                </c:pt>
                <c:pt idx="5">
                  <c:v>2.87093113866597</c:v>
                </c:pt>
                <c:pt idx="6">
                  <c:v>2.56187478547742</c:v>
                </c:pt>
                <c:pt idx="7">
                  <c:v>2.71398571116678</c:v>
                </c:pt>
                <c:pt idx="8">
                  <c:v>2.77689195919581</c:v>
                </c:pt>
                <c:pt idx="9">
                  <c:v>2.94915267566792</c:v>
                </c:pt>
                <c:pt idx="10">
                  <c:v>2.83447748693397</c:v>
                </c:pt>
                <c:pt idx="11">
                  <c:v>2.67209744133741</c:v>
                </c:pt>
              </c:numCache>
            </c:numRef>
          </c:val>
        </c:ser>
        <c:ser>
          <c:idx val="8"/>
          <c:order val="8"/>
          <c:tx>
            <c:strRef>
              <c:f>[19]Auswertung!$T$2</c:f>
              <c:strCache>
                <c:ptCount val="1"/>
                <c:pt idx="0">
                  <c:v>Rezirkulat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[19]Auswertung!$T$4:$T$15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[19]Auswertung!$U$2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[19]Auswertung!$U$4:$U$15</c:f>
              <c:numCache>
                <c:formatCode>General</c:formatCode>
                <c:ptCount val="12"/>
                <c:pt idx="0">
                  <c:v>0.0740519558077038</c:v>
                </c:pt>
                <c:pt idx="1">
                  <c:v>0.0747586922052006</c:v>
                </c:pt>
                <c:pt idx="2">
                  <c:v>0.0694934821838887</c:v>
                </c:pt>
                <c:pt idx="3">
                  <c:v>0.0830485794004696</c:v>
                </c:pt>
                <c:pt idx="4">
                  <c:v>0.0728356932489536</c:v>
                </c:pt>
                <c:pt idx="5">
                  <c:v>0.0847608240939478</c:v>
                </c:pt>
                <c:pt idx="6">
                  <c:v>0.0683166609460645</c:v>
                </c:pt>
                <c:pt idx="7">
                  <c:v>0.0747853840410403</c:v>
                </c:pt>
                <c:pt idx="8">
                  <c:v>0.0740504522452217</c:v>
                </c:pt>
                <c:pt idx="9">
                  <c:v>0.0812655403961826</c:v>
                </c:pt>
                <c:pt idx="10">
                  <c:v>0.0755860663182393</c:v>
                </c:pt>
                <c:pt idx="11">
                  <c:v>0.0712559317689975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62301184"/>
        <c:axId val="262303104"/>
      </c:barChart>
      <c:lineChart>
        <c:grouping val="stacked"/>
        <c:varyColors val="0"/>
        <c:ser>
          <c:idx val="10"/>
          <c:order val="10"/>
          <c:tx>
            <c:strRef>
              <c:f>"Güllebonus"</c:f>
              <c:strCache>
                <c:ptCount val="1"/>
                <c:pt idx="0">
                  <c:v>Güllebonus</c:v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{30,30,30,30,30,30,30,30,30,30,30,30}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62301184"/>
        <c:axId val="262303104"/>
      </c:lineChart>
      <c:lineChart>
        <c:grouping val="stacked"/>
        <c:varyColors val="0"/>
        <c:ser>
          <c:idx val="7"/>
          <c:order val="6"/>
          <c:tx>
            <c:strRef>
              <c:f>[19]Auswertung!$S$2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[19]Auswertung!$S$4:$S$15</c:f>
              <c:numCache>
                <c:formatCode>General</c:formatCode>
                <c:ptCount val="12"/>
                <c:pt idx="0">
                  <c:v>55.8166666666667</c:v>
                </c:pt>
                <c:pt idx="1">
                  <c:v>53.5054838709677</c:v>
                </c:pt>
                <c:pt idx="2">
                  <c:v>59.478</c:v>
                </c:pt>
                <c:pt idx="3">
                  <c:v>48.1645806451613</c:v>
                </c:pt>
                <c:pt idx="4">
                  <c:v>54.9181290322581</c:v>
                </c:pt>
                <c:pt idx="5">
                  <c:v>52.2478571428571</c:v>
                </c:pt>
                <c:pt idx="6">
                  <c:v>58.5508709677419</c:v>
                </c:pt>
                <c:pt idx="7">
                  <c:v>55.2692666666667</c:v>
                </c:pt>
                <c:pt idx="8">
                  <c:v>54.0172258064516</c:v>
                </c:pt>
                <c:pt idx="9">
                  <c:v>50.8620666666667</c:v>
                </c:pt>
                <c:pt idx="10">
                  <c:v>52.9198064516129</c:v>
                </c:pt>
                <c:pt idx="11">
                  <c:v>56.1356774193548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307200"/>
        <c:axId val="262305280"/>
      </c:lineChart>
      <c:catAx>
        <c:axId val="26230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2303104"/>
        <c:crosses val="autoZero"/>
        <c:auto val="1"/>
        <c:lblAlgn val="ctr"/>
        <c:lblOffset val="100"/>
        <c:noMultiLvlLbl val="1"/>
      </c:catAx>
      <c:valAx>
        <c:axId val="2623031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Frischmassantrag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2301184"/>
        <c:crosses val="autoZero"/>
        <c:crossBetween val="between"/>
      </c:valAx>
      <c:catAx>
        <c:axId val="26230720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2305280"/>
        <c:crosses val="autoZero"/>
        <c:auto val="1"/>
        <c:lblAlgn val="ctr"/>
        <c:lblOffset val="100"/>
        <c:noMultiLvlLbl val="0"/>
      </c:catAx>
      <c:valAx>
        <c:axId val="2623052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aseline="0">
                    <a:effectLst/>
                  </a:rPr>
                  <a:t>mittlerer täglicher Frischmasseeintrag [t/d]</a:t>
                </a:r>
                <a:endParaRPr lang="de-DE" sz="1200" baseline="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2307200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862309945212571"/>
          <c:y val="0.243968446378614"/>
          <c:w val="0.137690083928066"/>
          <c:h val="0.455468774905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274136267673"/>
          <c:y val="0.0468739252466585"/>
          <c:w val="0.874534725049608"/>
          <c:h val="0.84202044401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'[72]BGA 40_Diagramme '!$F$47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'[72]BGA 40_Diagramme 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'[72]BGA 40_Diagramme '!$F$49:$F$60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'[72]BGA 40_Diagramme '!$G$47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'[72]BGA 40_Diagramme 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'[72]BGA 40_Diagramme '!$G$49:$G$60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739264"/>
        <c:axId val="263740800"/>
      </c:barChart>
      <c:catAx>
        <c:axId val="26373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740800"/>
        <c:crosses val="autoZero"/>
        <c:auto val="0"/>
        <c:lblAlgn val="ctr"/>
        <c:lblOffset val="100"/>
        <c:noMultiLvlLbl val="0"/>
      </c:catAx>
      <c:valAx>
        <c:axId val="2637408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73926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29624222616913"/>
          <c:y val="0.0502698522146"/>
          <c:w val="0.844041902438778"/>
          <c:h val="0.0591255680988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'[72]BGA 40_Diagramme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'[72]BGA 40_Diagramme 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'[72]BGA 40_Diagramme '!$D$25:$D$36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'[72]BGA 40_Diagramme '!$E$22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'[72]BGA 40_Diagramme 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'[72]BGA 40_Diagramme '!$E$25:$E$36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779456"/>
        <c:axId val="263780992"/>
      </c:barChart>
      <c:catAx>
        <c:axId val="2637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780992"/>
        <c:crosses val="autoZero"/>
        <c:auto val="1"/>
        <c:lblAlgn val="ctr"/>
        <c:lblOffset val="100"/>
        <c:noMultiLvlLbl val="1"/>
      </c:catAx>
      <c:valAx>
        <c:axId val="2637809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</a:t>
                </a:r>
                <a:r>
                  <a:rPr lang="en-US" baseline="0"/>
                  <a:t>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779456"/>
        <c:crosses val="autoZero"/>
        <c:crossBetween val="between"/>
        <c:majorUnit val="0.05"/>
        <c:minorUnit val="0.0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39332970834275"/>
          <c:y val="0.0680141360282721"/>
          <c:w val="0.422995800733291"/>
          <c:h val="0.107630148593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47862847222222"/>
          <c:y val="0.0611670138888889"/>
          <c:w val="0.77772412264551"/>
          <c:h val="0.760514728467085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'[73]Dia Broschüre'!$B$2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'[74]BGA 41_Diagramme'!$A$4:$A$15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'[73]Dia Broschüre'!$B$4:$B$15</c:f>
              <c:numCache>
                <c:formatCode>General</c:formatCode>
                <c:ptCount val="12"/>
                <c:pt idx="0">
                  <c:v>22.6563541192744</c:v>
                </c:pt>
                <c:pt idx="1">
                  <c:v>22.6036881149533</c:v>
                </c:pt>
                <c:pt idx="2">
                  <c:v>23.0724338703329</c:v>
                </c:pt>
                <c:pt idx="3">
                  <c:v>22.7986537113786</c:v>
                </c:pt>
                <c:pt idx="4">
                  <c:v>22.7079805409412</c:v>
                </c:pt>
                <c:pt idx="5">
                  <c:v>22.3206435472942</c:v>
                </c:pt>
                <c:pt idx="6">
                  <c:v>22.8205705575667</c:v>
                </c:pt>
                <c:pt idx="7">
                  <c:v>23.6464886550541</c:v>
                </c:pt>
                <c:pt idx="8">
                  <c:v>22.2553495187861</c:v>
                </c:pt>
                <c:pt idx="9">
                  <c:v>22.2003411017115</c:v>
                </c:pt>
                <c:pt idx="10">
                  <c:v>22.1937722674708</c:v>
                </c:pt>
                <c:pt idx="11">
                  <c:v>22.5690459796496</c:v>
                </c:pt>
              </c:numCache>
            </c:numRef>
          </c:val>
        </c:ser>
        <c:ser>
          <c:idx val="1"/>
          <c:order val="1"/>
          <c:tx>
            <c:strRef>
              <c:f>'[73]Dia Broschüre'!$C$2</c:f>
              <c:strCache>
                <c:ptCount val="1"/>
                <c:pt idx="0">
                  <c:v>Schweinegülle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dLbls>
            <c:delete val="1"/>
          </c:dLbls>
          <c:cat>
            <c:strRef>
              <c:f>'[74]BGA 41_Diagramme'!$A$4:$A$15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'[73]Dia Broschüre'!$C$4:$C$15</c:f>
              <c:numCache>
                <c:formatCode>General</c:formatCode>
                <c:ptCount val="12"/>
                <c:pt idx="0">
                  <c:v>22.6563541192744</c:v>
                </c:pt>
                <c:pt idx="1">
                  <c:v>22.6036881149533</c:v>
                </c:pt>
                <c:pt idx="2">
                  <c:v>23.0724338703329</c:v>
                </c:pt>
                <c:pt idx="3">
                  <c:v>22.7986537113786</c:v>
                </c:pt>
                <c:pt idx="4">
                  <c:v>22.7079805409412</c:v>
                </c:pt>
                <c:pt idx="5">
                  <c:v>22.3206435472942</c:v>
                </c:pt>
                <c:pt idx="6">
                  <c:v>22.8205705575667</c:v>
                </c:pt>
                <c:pt idx="7">
                  <c:v>23.6464886550541</c:v>
                </c:pt>
                <c:pt idx="8">
                  <c:v>22.2553495187861</c:v>
                </c:pt>
                <c:pt idx="9">
                  <c:v>22.2003411017115</c:v>
                </c:pt>
                <c:pt idx="10">
                  <c:v>22.1937722674708</c:v>
                </c:pt>
                <c:pt idx="11">
                  <c:v>22.5690459796496</c:v>
                </c:pt>
              </c:numCache>
            </c:numRef>
          </c:val>
        </c:ser>
        <c:ser>
          <c:idx val="0"/>
          <c:order val="2"/>
          <c:tx>
            <c:strRef>
              <c:f>'[73]Dia Broschüre'!$D$2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'[74]BGA 41_Diagramme'!$A$4:$A$15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'[73]Dia Broschüre'!$D$4:$D$15</c:f>
              <c:numCache>
                <c:formatCode>General</c:formatCode>
                <c:ptCount val="12"/>
                <c:pt idx="0">
                  <c:v>52.64684120791</c:v>
                </c:pt>
                <c:pt idx="1">
                  <c:v>54.7504424454164</c:v>
                </c:pt>
                <c:pt idx="2">
                  <c:v>52.7738946720774</c:v>
                </c:pt>
                <c:pt idx="3">
                  <c:v>52.6315789473684</c:v>
                </c:pt>
                <c:pt idx="4">
                  <c:v>52.0012754387552</c:v>
                </c:pt>
                <c:pt idx="5">
                  <c:v>52.6933654700582</c:v>
                </c:pt>
                <c:pt idx="6">
                  <c:v>51.6333812550881</c:v>
                </c:pt>
                <c:pt idx="7">
                  <c:v>50.466829027834</c:v>
                </c:pt>
                <c:pt idx="8">
                  <c:v>55.4504491188655</c:v>
                </c:pt>
                <c:pt idx="9">
                  <c:v>54.2107082257052</c:v>
                </c:pt>
                <c:pt idx="10">
                  <c:v>53.2566307579573</c:v>
                </c:pt>
                <c:pt idx="11">
                  <c:v>52.064366409099</c:v>
                </c:pt>
              </c:numCache>
            </c:numRef>
          </c:val>
        </c:ser>
        <c:ser>
          <c:idx val="3"/>
          <c:order val="3"/>
          <c:tx>
            <c:strRef>
              <c:f>'[75]BGA 41_Diagramme'!$E$2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'[74]BGA 41_Diagramme'!$A$4:$A$15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'[75]BGA 41_Diagramme'!$E$4:$E$15</c:f>
              <c:numCache>
                <c:formatCode>General</c:formatCode>
                <c:ptCount val="12"/>
                <c:pt idx="0">
                  <c:v>1.99909006934774</c:v>
                </c:pt>
                <c:pt idx="1">
                  <c:v>0</c:v>
                </c:pt>
                <c:pt idx="2">
                  <c:v>1.0405215274856</c:v>
                </c:pt>
                <c:pt idx="3">
                  <c:v>1.73044809953537</c:v>
                </c:pt>
                <c:pt idx="4">
                  <c:v>2.54225968105413</c:v>
                </c:pt>
                <c:pt idx="5">
                  <c:v>2.62595806438755</c:v>
                </c:pt>
                <c:pt idx="6">
                  <c:v>2.68477300677256</c:v>
                </c:pt>
                <c:pt idx="7">
                  <c:v>2.19626829613506</c:v>
                </c:pt>
                <c:pt idx="8">
                  <c:v>0</c:v>
                </c:pt>
                <c:pt idx="9">
                  <c:v>1.34943249833933</c:v>
                </c:pt>
                <c:pt idx="10">
                  <c:v>2.31623809243053</c:v>
                </c:pt>
                <c:pt idx="11">
                  <c:v>2.74143778848851</c:v>
                </c:pt>
              </c:numCache>
            </c:numRef>
          </c:val>
        </c:ser>
        <c:ser>
          <c:idx val="7"/>
          <c:order val="4"/>
          <c:tx>
            <c:strRef>
              <c:f>'[75]BGA 41_Diagramme'!$F$2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'[74]BGA 41_Diagramme'!$A$4:$A$15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'[75]BGA 41_Diagramme'!$F$4:$F$15</c:f>
              <c:numCache>
                <c:formatCode>General</c:formatCode>
                <c:ptCount val="12"/>
                <c:pt idx="0">
                  <c:v>0.0413604841934016</c:v>
                </c:pt>
                <c:pt idx="1">
                  <c:v>0.0421813246769919</c:v>
                </c:pt>
                <c:pt idx="2">
                  <c:v>0.0407160597711757</c:v>
                </c:pt>
                <c:pt idx="3">
                  <c:v>0.0406655303390813</c:v>
                </c:pt>
                <c:pt idx="4">
                  <c:v>0.0405037983083201</c:v>
                </c:pt>
                <c:pt idx="5">
                  <c:v>0.0393893709658133</c:v>
                </c:pt>
                <c:pt idx="6">
                  <c:v>0.0407046230059065</c:v>
                </c:pt>
                <c:pt idx="7">
                  <c:v>0.0439253659227011</c:v>
                </c:pt>
                <c:pt idx="8">
                  <c:v>0.0388518435622073</c:v>
                </c:pt>
                <c:pt idx="9">
                  <c:v>0.0391770725324321</c:v>
                </c:pt>
                <c:pt idx="10">
                  <c:v>0.039586614670631</c:v>
                </c:pt>
                <c:pt idx="11">
                  <c:v>0.0561038431132533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256320"/>
        <c:axId val="263328128"/>
      </c:barChart>
      <c:lineChart>
        <c:grouping val="stacked"/>
        <c:varyColors val="0"/>
        <c:ser>
          <c:idx val="4"/>
          <c:order val="5"/>
          <c:tx>
            <c:strRef>
              <c:f>'[75]BGA 41_Diagramme'!$G$2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6350" cap="flat" cmpd="sng" algn="ctr">
                <a:noFill/>
                <a:prstDash val="solid"/>
                <a:round/>
              </a:ln>
            </c:spPr>
          </c:marker>
          <c:dLbls>
            <c:delete val="1"/>
          </c:dLbls>
          <c:cat>
            <c:numRef>
              <c:f>'[73]Dia Broschüre'!$A$4:$A$15</c:f>
              <c:numCache>
                <c:formatCode>General</c:formatCode>
                <c:ptCount val="12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</c:numCache>
            </c:numRef>
          </c:cat>
          <c:val>
            <c:numRef>
              <c:f>'[75]BGA 41_Diagramme'!$G$4:$G$15</c:f>
              <c:numCache>
                <c:formatCode>General</c:formatCode>
                <c:ptCount val="12"/>
                <c:pt idx="0">
                  <c:v>72.533</c:v>
                </c:pt>
                <c:pt idx="1">
                  <c:v>70.3567741935484</c:v>
                </c:pt>
                <c:pt idx="2">
                  <c:v>73.681</c:v>
                </c:pt>
                <c:pt idx="3">
                  <c:v>74.5658064516129</c:v>
                </c:pt>
                <c:pt idx="4">
                  <c:v>74.8635483870968</c:v>
                </c:pt>
                <c:pt idx="5">
                  <c:v>76.1626785714286</c:v>
                </c:pt>
                <c:pt idx="6">
                  <c:v>74.4941935483871</c:v>
                </c:pt>
                <c:pt idx="7">
                  <c:v>68.2976666666667</c:v>
                </c:pt>
                <c:pt idx="8">
                  <c:v>76.3861290322581</c:v>
                </c:pt>
                <c:pt idx="9">
                  <c:v>76.5754</c:v>
                </c:pt>
                <c:pt idx="10">
                  <c:v>76.598064516129</c:v>
                </c:pt>
                <c:pt idx="11">
                  <c:v>50.5974193548387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344512"/>
        <c:axId val="263330048"/>
      </c:lineChart>
      <c:dateAx>
        <c:axId val="26325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3328128"/>
        <c:crosses val="autoZero"/>
        <c:auto val="0"/>
        <c:lblAlgn val="ctr"/>
        <c:lblOffset val="100"/>
        <c:baseTimeUnit val="days"/>
      </c:dateAx>
      <c:valAx>
        <c:axId val="263328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ln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00617100694444444"/>
              <c:y val="0.09104305555555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3256320"/>
        <c:crosses val="autoZero"/>
        <c:crossBetween val="between"/>
        <c:majorUnit val="10"/>
      </c:valAx>
      <c:dateAx>
        <c:axId val="263344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3330048"/>
        <c:crosses val="autoZero"/>
        <c:auto val="0"/>
        <c:lblOffset val="100"/>
        <c:baseTimeUnit val="days"/>
      </c:dateAx>
      <c:valAx>
        <c:axId val="263330048"/>
        <c:scaling>
          <c:orientation val="minMax"/>
          <c:max val="10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ln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932601862823974"/>
              <c:y val="0.070396981168165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3344512"/>
        <c:crosses val="max"/>
        <c:crossBetween val="between"/>
        <c:majorUnit val="1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0621541319296821"/>
          <c:y val="0.885432701808078"/>
          <c:w val="0.890223037553457"/>
          <c:h val="0.11456729819192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ln>
                <a:noFill/>
              </a:ln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>
          <a:ln>
            <a:noFill/>
          </a:ln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4819210253106"/>
          <c:y val="0.0568118466898955"/>
          <c:w val="0.820174524755665"/>
          <c:h val="0.8220960365853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'[74]BGA 41_Diagramme'!$F$41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'[74]BGA 41_Diagramme'!$A$43:$A$54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'[74]BGA 41_Diagramme'!$F$43:$F$54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'[74]BGA 41_Diagramme'!$G$41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'[74]BGA 41_Diagramme'!$A$43:$A$54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'[74]BGA 41_Diagramme'!$G$43:$G$54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387776"/>
        <c:axId val="263393664"/>
      </c:barChart>
      <c:catAx>
        <c:axId val="26338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393664"/>
        <c:crosses val="autoZero"/>
        <c:auto val="1"/>
        <c:lblAlgn val="ctr"/>
        <c:lblOffset val="100"/>
        <c:noMultiLvlLbl val="1"/>
      </c:catAx>
      <c:valAx>
        <c:axId val="263393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38777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22745498156303"/>
          <c:y val="0.0619573896631823"/>
          <c:w val="0.865900547739233"/>
          <c:h val="0.09451038037166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'[72]BGA 40_Diagramme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'[74]BGA 41_Diagramme'!$D$25:$D$36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'[74]BGA 41_Diagramme'!$E$25:$E$36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'[72]BGA 40_Diagramme '!$E$22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'[74]BGA 41_Diagramme'!$D$25:$D$36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'[74]BGA 41_Diagramme'!$F$25:$F$36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444352"/>
        <c:axId val="263445888"/>
      </c:barChart>
      <c:catAx>
        <c:axId val="26344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445888"/>
        <c:crosses val="autoZero"/>
        <c:auto val="1"/>
        <c:lblAlgn val="ctr"/>
        <c:lblOffset val="100"/>
        <c:noMultiLvlLbl val="1"/>
      </c:catAx>
      <c:valAx>
        <c:axId val="2634458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</a:t>
                </a:r>
                <a:r>
                  <a:rPr lang="en-US" baseline="0"/>
                  <a:t>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444352"/>
        <c:crosses val="autoZero"/>
        <c:crossBetween val="between"/>
        <c:majorUnit val="0.05"/>
        <c:minorUnit val="0.0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39332970834275"/>
          <c:y val="0.0365180730361461"/>
          <c:w val="0.422995800733291"/>
          <c:h val="0.107630148593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794951346296277"/>
          <c:y val="0.0502593799151502"/>
          <c:w val="0.834741158451597"/>
          <c:h val="0.703807233744114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'[78]BGA 42_Diagramme 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'[78]BGA 42_Diagramme 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'[78]BGA 42_Diagramme '!$G$4:$G$15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2"/>
          <c:tx>
            <c:strRef>
              <c:f>'[78]BGA 42_Diagramme 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val>
            <c:numRef>
              <c:f>'[78]BGA 42_Diagramme '!$F$4:$F$15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3"/>
          <c:tx>
            <c:strRef>
              <c:f>'[78]BGA 42_Diagramme 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</c:spPr>
          <c:invertIfNegative val="0"/>
          <c:dLbls>
            <c:delete val="1"/>
          </c:dLbls>
          <c:val>
            <c:numRef>
              <c:f>'[78]BGA 42_Diagramme '!$C$4:$C$15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4"/>
          <c:tx>
            <c:strRef>
              <c:f>'[78]BGA 42_Diagramme 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ED7D31"/>
            </a:solidFill>
          </c:spPr>
          <c:invertIfNegative val="0"/>
          <c:dLbls>
            <c:delete val="1"/>
          </c:dLbls>
          <c:val>
            <c:numRef>
              <c:f>'[78]BGA 42_Diagramme '!$D$4:$D$15</c:f>
              <c:numCache>
                <c:formatCode>General</c:formatCode>
                <c:ptCount val="12"/>
              </c:numCache>
            </c:numRef>
          </c:val>
        </c:ser>
        <c:ser>
          <c:idx val="7"/>
          <c:order val="7"/>
          <c:tx>
            <c:strRef>
              <c:f>'[78]BGA 42_Diagramme 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val>
            <c:numRef>
              <c:f>'[78]BGA 42_Diagramme '!$E$4:$E$15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63502848"/>
        <c:axId val="263660672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'[78]BGA 42_Diagramme 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FFC000">
                      <a:lumMod val="75000"/>
                    </a:srgb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'[78]BGA 42_Diagramme '!$A$4:$A$15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'[78]BGA 42_Diagramme 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4"/>
                <c:order val="5"/>
                <c:tx>
                  <c:strRef>
                    <c:extLst>
                      <c:ext uri="{02D57815-91ED-43cb-92C2-25804820EDAC}">
                        <c15:formulaRef>
                          <c15:sqref>'[78]BGA 42_Diagramme '!$B$2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'[78]BGA 42_Diagramme '!$B$4:$B$15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'[78]BGA 42_Diagramme 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'[78]BGA 42_Diagramme 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8"/>
          <c:order val="8"/>
          <c:tx>
            <c:strRef>
              <c:f>'[78]BGA 42_Diagramme 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ysClr val="windowText" lastClr="000000"/>
              </a:solidFill>
              <a:ln w="6350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'[78]BGA 42_Diagramme '!$J$4:$J$15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685248"/>
        <c:axId val="263662592"/>
      </c:lineChart>
      <c:catAx>
        <c:axId val="26350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3660672"/>
        <c:crosses val="autoZero"/>
        <c:auto val="1"/>
        <c:lblAlgn val="ctr"/>
        <c:lblOffset val="100"/>
        <c:noMultiLvlLbl val="1"/>
      </c:catAx>
      <c:valAx>
        <c:axId val="26366067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3502848"/>
        <c:crosses val="autoZero"/>
        <c:crossBetween val="between"/>
      </c:valAx>
      <c:catAx>
        <c:axId val="26368524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3662592"/>
        <c:crosses val="autoZero"/>
        <c:auto val="1"/>
        <c:lblAlgn val="ctr"/>
        <c:lblOffset val="100"/>
        <c:noMultiLvlLbl val="0"/>
      </c:catAx>
      <c:valAx>
        <c:axId val="263662592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ysClr val="windowText" lastClr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3685248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00207401960784314"/>
          <c:y val="0.836112864442441"/>
          <c:w val="0.992975"/>
          <c:h val="0.1623462077948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Fütterungsmenge BGA Gesamt</a:t>
            </a:r>
            <a:endParaRPr lang="de-DE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94951346296277"/>
          <c:y val="0.131760386502607"/>
          <c:w val="0.701478758588206"/>
          <c:h val="0.698866609285175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[19]Auswertung!$Q$2</c:f>
              <c:strCache>
                <c:ptCount val="1"/>
                <c:pt idx="0">
                  <c:v>Futterreste + 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[19]Auswertung!$Q$4:$Q$15</c:f>
              <c:numCache>
                <c:formatCode>General</c:formatCode>
                <c:ptCount val="12"/>
                <c:pt idx="0">
                  <c:v>4.47894893998208</c:v>
                </c:pt>
                <c:pt idx="1">
                  <c:v>4.67241826282504</c:v>
                </c:pt>
                <c:pt idx="2">
                  <c:v>4.2032348095094</c:v>
                </c:pt>
                <c:pt idx="3">
                  <c:v>5.19053621252935</c:v>
                </c:pt>
                <c:pt idx="4">
                  <c:v>4.5522308280596</c:v>
                </c:pt>
                <c:pt idx="5">
                  <c:v>4.78488523110996</c:v>
                </c:pt>
                <c:pt idx="6">
                  <c:v>4.26979130912903</c:v>
                </c:pt>
                <c:pt idx="7">
                  <c:v>4.52330951861131</c:v>
                </c:pt>
                <c:pt idx="8">
                  <c:v>4.62815326532635</c:v>
                </c:pt>
                <c:pt idx="9">
                  <c:v>4.91525445944653</c:v>
                </c:pt>
                <c:pt idx="10">
                  <c:v>4.72412914488995</c:v>
                </c:pt>
                <c:pt idx="11">
                  <c:v>4.45349573556234</c:v>
                </c:pt>
              </c:numCache>
            </c:numRef>
          </c:val>
        </c:ser>
        <c:ser>
          <c:idx val="6"/>
          <c:order val="1"/>
          <c:tx>
            <c:strRef>
              <c:f>[19]Auswertung!$R$2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[19]Auswertung!$R$4:$R$15</c:f>
              <c:numCache>
                <c:formatCode>General</c:formatCode>
                <c:ptCount val="12"/>
                <c:pt idx="0">
                  <c:v>55.4792475365781</c:v>
                </c:pt>
                <c:pt idx="1">
                  <c:v>56.4910440292524</c:v>
                </c:pt>
                <c:pt idx="2">
                  <c:v>61.1990988264568</c:v>
                </c:pt>
                <c:pt idx="3">
                  <c:v>62.4873585327727</c:v>
                </c:pt>
                <c:pt idx="4">
                  <c:v>57.5636930515923</c:v>
                </c:pt>
                <c:pt idx="5">
                  <c:v>59.1275103558587</c:v>
                </c:pt>
                <c:pt idx="6">
                  <c:v>62.366500153988</c:v>
                </c:pt>
                <c:pt idx="7">
                  <c:v>59.5870640585063</c:v>
                </c:pt>
                <c:pt idx="8">
                  <c:v>58.6431807296836</c:v>
                </c:pt>
                <c:pt idx="9">
                  <c:v>57.1480251818316</c:v>
                </c:pt>
                <c:pt idx="10">
                  <c:v>49.7405081578091</c:v>
                </c:pt>
                <c:pt idx="11">
                  <c:v>50.5687257715466</c:v>
                </c:pt>
              </c:numCache>
            </c:numRef>
          </c:val>
        </c:ser>
        <c:ser>
          <c:idx val="1"/>
          <c:order val="2"/>
          <c:tx>
            <c:strRef>
              <c:f>[19]Auswertung!$M$2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[19]Auswertung!$M$4:$M$15</c:f>
              <c:numCache>
                <c:formatCode>General</c:formatCode>
                <c:ptCount val="12"/>
                <c:pt idx="0">
                  <c:v>1.58256195879367</c:v>
                </c:pt>
                <c:pt idx="1">
                  <c:v>2.0679218892245</c:v>
                </c:pt>
                <c:pt idx="2">
                  <c:v>2.18568210094489</c:v>
                </c:pt>
                <c:pt idx="3">
                  <c:v>1.03140977642519</c:v>
                </c:pt>
                <c:pt idx="4">
                  <c:v>2.03235079549499</c:v>
                </c:pt>
                <c:pt idx="5">
                  <c:v>2.01648734739634</c:v>
                </c:pt>
                <c:pt idx="6">
                  <c:v>1.70791652365161</c:v>
                </c:pt>
                <c:pt idx="7">
                  <c:v>1.11574968125746</c:v>
                </c:pt>
                <c:pt idx="8">
                  <c:v>1.80945863147598</c:v>
                </c:pt>
                <c:pt idx="9">
                  <c:v>1.82192098630151</c:v>
                </c:pt>
                <c:pt idx="10">
                  <c:v>1.85771044928602</c:v>
                </c:pt>
                <c:pt idx="11">
                  <c:v>3.18927759127368</c:v>
                </c:pt>
              </c:numCache>
            </c:numRef>
          </c:val>
        </c:ser>
        <c:ser>
          <c:idx val="2"/>
          <c:order val="3"/>
          <c:tx>
            <c:strRef>
              <c:f>[19]Auswertung!$N$2</c:f>
              <c:strCache>
                <c:ptCount val="1"/>
                <c:pt idx="0">
                  <c:v>Roggen-GPS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[19]Auswertung!$N$4:$N$15</c:f>
              <c:numCache>
                <c:formatCode>General</c:formatCode>
                <c:ptCount val="12"/>
                <c:pt idx="0">
                  <c:v>4.59540161242162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6.53886131249091</c:v>
                </c:pt>
                <c:pt idx="10">
                  <c:v>18.9451598706259</c:v>
                </c:pt>
                <c:pt idx="11">
                  <c:v>20.4584974422568</c:v>
                </c:pt>
              </c:numCache>
            </c:numRef>
          </c:val>
        </c:ser>
        <c:ser>
          <c:idx val="4"/>
          <c:order val="4"/>
          <c:tx>
            <c:strRef>
              <c:f>[19]Auswertung!$P$2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[19]Auswertung!$P$4:$P$15</c:f>
              <c:numCache>
                <c:formatCode>General</c:formatCode>
                <c:ptCount val="12"/>
                <c:pt idx="0">
                  <c:v>31.1024186324276</c:v>
                </c:pt>
                <c:pt idx="1">
                  <c:v>33.8904061687979</c:v>
                </c:pt>
                <c:pt idx="2">
                  <c:v>29.266283331652</c:v>
                </c:pt>
                <c:pt idx="3">
                  <c:v>26.9230099484161</c:v>
                </c:pt>
                <c:pt idx="4">
                  <c:v>33.0085487958028</c:v>
                </c:pt>
                <c:pt idx="5">
                  <c:v>30.2354163533706</c:v>
                </c:pt>
                <c:pt idx="6">
                  <c:v>28.9616914323745</c:v>
                </c:pt>
                <c:pt idx="7">
                  <c:v>30.9129003581255</c:v>
                </c:pt>
                <c:pt idx="8">
                  <c:v>29.9537662418321</c:v>
                </c:pt>
                <c:pt idx="9">
                  <c:v>26.3373752016893</c:v>
                </c:pt>
                <c:pt idx="10">
                  <c:v>21.8132853483725</c:v>
                </c:pt>
                <c:pt idx="11">
                  <c:v>18.5866500862542</c:v>
                </c:pt>
              </c:numCache>
            </c:numRef>
          </c:val>
        </c:ser>
        <c:ser>
          <c:idx val="3"/>
          <c:order val="5"/>
          <c:tx>
            <c:strRef>
              <c:f>[19]Auswertung!$O$2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[19]Auswertung!$O$4:$O$15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0.554266563547306</c:v>
                </c:pt>
                <c:pt idx="3">
                  <c:v>1.17031522293855</c:v>
                </c:pt>
                <c:pt idx="4">
                  <c:v>0.0390023389655687</c:v>
                </c:pt>
                <c:pt idx="5">
                  <c:v>0.880008749504423</c:v>
                </c:pt>
                <c:pt idx="6">
                  <c:v>0.0639091344334152</c:v>
                </c:pt>
                <c:pt idx="7">
                  <c:v>1.07220528829162</c:v>
                </c:pt>
                <c:pt idx="8">
                  <c:v>2.11449872024097</c:v>
                </c:pt>
                <c:pt idx="9">
                  <c:v>0.208144642176029</c:v>
                </c:pt>
                <c:pt idx="10">
                  <c:v>0.00914347576430314</c:v>
                </c:pt>
                <c:pt idx="11">
                  <c:v>0</c:v>
                </c:pt>
              </c:numCache>
            </c:numRef>
          </c:val>
        </c:ser>
        <c:ser>
          <c:idx val="0"/>
          <c:order val="7"/>
          <c:tx>
            <c:strRef>
              <c:f>[19]Auswertung!$L$2</c:f>
              <c:strCache>
                <c:ptCount val="1"/>
                <c:pt idx="0">
                  <c:v>Prozesswasser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[19]Auswertung!$L$4:$L$15</c:f>
              <c:numCache>
                <c:formatCode>General</c:formatCode>
                <c:ptCount val="12"/>
                <c:pt idx="0">
                  <c:v>2.68736936398925</c:v>
                </c:pt>
                <c:pt idx="1">
                  <c:v>2.80345095769502</c:v>
                </c:pt>
                <c:pt idx="2">
                  <c:v>2.52194088570564</c:v>
                </c:pt>
                <c:pt idx="3">
                  <c:v>3.11432172751761</c:v>
                </c:pt>
                <c:pt idx="4">
                  <c:v>2.73133849683576</c:v>
                </c:pt>
                <c:pt idx="5">
                  <c:v>2.87093113866597</c:v>
                </c:pt>
                <c:pt idx="6">
                  <c:v>2.56187478547742</c:v>
                </c:pt>
                <c:pt idx="7">
                  <c:v>2.71398571116678</c:v>
                </c:pt>
                <c:pt idx="8">
                  <c:v>2.77689195919581</c:v>
                </c:pt>
                <c:pt idx="9">
                  <c:v>2.94915267566792</c:v>
                </c:pt>
                <c:pt idx="10">
                  <c:v>2.83447748693397</c:v>
                </c:pt>
                <c:pt idx="11">
                  <c:v>2.67209744133741</c:v>
                </c:pt>
              </c:numCache>
            </c:numRef>
          </c:val>
        </c:ser>
        <c:ser>
          <c:idx val="8"/>
          <c:order val="8"/>
          <c:tx>
            <c:strRef>
              <c:f>[19]Auswertung!$T$2</c:f>
              <c:strCache>
                <c:ptCount val="1"/>
                <c:pt idx="0">
                  <c:v>Rezirkulat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[19]Auswertung!$T$4:$T$15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[19]Auswertung!$U$2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[19]Auswertung!$U$4:$U$15</c:f>
              <c:numCache>
                <c:formatCode>General</c:formatCode>
                <c:ptCount val="12"/>
                <c:pt idx="0">
                  <c:v>0.0740519558077038</c:v>
                </c:pt>
                <c:pt idx="1">
                  <c:v>0.0747586922052006</c:v>
                </c:pt>
                <c:pt idx="2">
                  <c:v>0.0694934821838887</c:v>
                </c:pt>
                <c:pt idx="3">
                  <c:v>0.0830485794004696</c:v>
                </c:pt>
                <c:pt idx="4">
                  <c:v>0.0728356932489536</c:v>
                </c:pt>
                <c:pt idx="5">
                  <c:v>0.0847608240939478</c:v>
                </c:pt>
                <c:pt idx="6">
                  <c:v>0.0683166609460645</c:v>
                </c:pt>
                <c:pt idx="7">
                  <c:v>0.0747853840410403</c:v>
                </c:pt>
                <c:pt idx="8">
                  <c:v>0.0740504522452217</c:v>
                </c:pt>
                <c:pt idx="9">
                  <c:v>0.0812655403961826</c:v>
                </c:pt>
                <c:pt idx="10">
                  <c:v>0.0755860663182393</c:v>
                </c:pt>
                <c:pt idx="11">
                  <c:v>0.0712559317689975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60733952"/>
        <c:axId val="260736128"/>
      </c:barChart>
      <c:lineChart>
        <c:grouping val="stacked"/>
        <c:varyColors val="0"/>
        <c:ser>
          <c:idx val="10"/>
          <c:order val="10"/>
          <c:tx>
            <c:strRef>
              <c:f>"Güllebonus"</c:f>
              <c:strCache>
                <c:ptCount val="1"/>
                <c:pt idx="0">
                  <c:v>Güllebonus</c:v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{30,30,30,30,30,30,30,30,30,30,30,30}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60733952"/>
        <c:axId val="260736128"/>
      </c:lineChart>
      <c:lineChart>
        <c:grouping val="stacked"/>
        <c:varyColors val="0"/>
        <c:ser>
          <c:idx val="7"/>
          <c:order val="6"/>
          <c:tx>
            <c:strRef>
              <c:f>[19]Auswertung!$S$2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[19]Auswertung!$S$4:$S$15</c:f>
              <c:numCache>
                <c:formatCode>General</c:formatCode>
                <c:ptCount val="12"/>
                <c:pt idx="0">
                  <c:v>55.8166666666667</c:v>
                </c:pt>
                <c:pt idx="1">
                  <c:v>53.5054838709677</c:v>
                </c:pt>
                <c:pt idx="2">
                  <c:v>59.478</c:v>
                </c:pt>
                <c:pt idx="3">
                  <c:v>48.1645806451613</c:v>
                </c:pt>
                <c:pt idx="4">
                  <c:v>54.9181290322581</c:v>
                </c:pt>
                <c:pt idx="5">
                  <c:v>52.2478571428571</c:v>
                </c:pt>
                <c:pt idx="6">
                  <c:v>58.5508709677419</c:v>
                </c:pt>
                <c:pt idx="7">
                  <c:v>55.2692666666667</c:v>
                </c:pt>
                <c:pt idx="8">
                  <c:v>54.0172258064516</c:v>
                </c:pt>
                <c:pt idx="9">
                  <c:v>50.8620666666667</c:v>
                </c:pt>
                <c:pt idx="10">
                  <c:v>52.9198064516129</c:v>
                </c:pt>
                <c:pt idx="11">
                  <c:v>56.1356774193548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740224"/>
        <c:axId val="260738048"/>
      </c:lineChart>
      <c:catAx>
        <c:axId val="26073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736128"/>
        <c:crosses val="autoZero"/>
        <c:auto val="1"/>
        <c:lblAlgn val="ctr"/>
        <c:lblOffset val="100"/>
        <c:noMultiLvlLbl val="1"/>
      </c:catAx>
      <c:valAx>
        <c:axId val="260736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Frischmassantrag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733952"/>
        <c:crosses val="autoZero"/>
        <c:crossBetween val="between"/>
      </c:valAx>
      <c:catAx>
        <c:axId val="26074022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0738048"/>
        <c:crosses val="autoZero"/>
        <c:auto val="1"/>
        <c:lblAlgn val="ctr"/>
        <c:lblOffset val="100"/>
        <c:noMultiLvlLbl val="0"/>
      </c:catAx>
      <c:valAx>
        <c:axId val="2607380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aseline="0">
                    <a:effectLst/>
                  </a:rPr>
                  <a:t>mittlerer täglicher Frischmasseeintrag [t/d]</a:t>
                </a:r>
                <a:endParaRPr lang="de-DE" sz="1200" baseline="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740224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862309945212571"/>
          <c:y val="0.243968446378614"/>
          <c:w val="0.137690083928066"/>
          <c:h val="0.455468774905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964017978079"/>
          <c:y val="0.0525202703722904"/>
          <c:w val="0.854312069748259"/>
          <c:h val="0.8270123996127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'[78]BGA 42_Diagramme '!$F$47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'[78]BGA 42_Diagramme 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'[78]BGA 42_Diagramme '!$F$49:$F$60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'[78]BGA 42_Diagramme '!$G$47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'[78]BGA 42_Diagramme 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'[78]BGA 42_Diagramme '!$G$49:$G$60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085440"/>
        <c:axId val="263087232"/>
      </c:barChart>
      <c:catAx>
        <c:axId val="2630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087232"/>
        <c:crosses val="autoZero"/>
        <c:auto val="0"/>
        <c:lblAlgn val="ctr"/>
        <c:lblOffset val="100"/>
        <c:noMultiLvlLbl val="0"/>
      </c:catAx>
      <c:valAx>
        <c:axId val="263087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085440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3169003282361"/>
          <c:y val="0.0587923840776289"/>
          <c:w val="0.841976092232082"/>
          <c:h val="0.0719093658934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'[72]BGA 40_Diagramme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'[74]BGA 41_Diagramme'!$D$25:$D$36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'[78]BGA 42_Diagramme '!$D$25:$D$36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'[72]BGA 40_Diagramme '!$E$22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'[74]BGA 41_Diagramme'!$D$25:$D$36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'[78]BGA 42_Diagramme '!$E$25:$E$36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113344"/>
        <c:axId val="264384896"/>
      </c:barChart>
      <c:catAx>
        <c:axId val="26311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4384896"/>
        <c:crosses val="autoZero"/>
        <c:auto val="1"/>
        <c:lblAlgn val="ctr"/>
        <c:lblOffset val="100"/>
        <c:noMultiLvlLbl val="1"/>
      </c:catAx>
      <c:valAx>
        <c:axId val="2643848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3113344"/>
        <c:crosses val="autoZero"/>
        <c:crossBetween val="between"/>
        <c:majorUnit val="0.05"/>
        <c:minorUnit val="0.0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39332970834275"/>
          <c:y val="0.0365180730361461"/>
          <c:w val="0.422995800733291"/>
          <c:h val="0.107630148593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960964052287582"/>
          <c:y val="0.0502593799151502"/>
          <c:w val="0.805688888888889"/>
          <c:h val="0.703807233744114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'[79]BGA 43_Diagramme'!$B$2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75000"/>
              </a:srgbClr>
            </a:solidFill>
          </c:spPr>
          <c:invertIfNegative val="0"/>
          <c:dLbls>
            <c:delete val="1"/>
          </c:dLbls>
          <c:cat>
            <c:strRef>
              <c:f>'[79]BGA 43_Diagramme'!$A$4:$A$16</c:f>
              <c:strCache>
                <c:ptCount val="13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  <c:pt idx="12">
                  <c:v>#REF!</c:v>
                </c:pt>
              </c:strCache>
            </c:strRef>
          </c:cat>
          <c:val>
            <c:numRef>
              <c:f>'[79]BGA 43_Diagramme'!$B$4:$B$15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1"/>
          <c:tx>
            <c:strRef>
              <c:f>'[79]BGA 43_Diagramme'!$C$2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50000"/>
              </a:srgbClr>
            </a:solidFill>
          </c:spPr>
          <c:invertIfNegative val="0"/>
          <c:dLbls>
            <c:delete val="1"/>
          </c:dLbls>
          <c:cat>
            <c:strRef>
              <c:f>'[79]BGA 43_Diagramme'!$A$4:$A$16</c:f>
              <c:strCache>
                <c:ptCount val="13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  <c:pt idx="12">
                  <c:v>#REF!</c:v>
                </c:pt>
              </c:strCache>
            </c:strRef>
          </c:cat>
          <c:val>
            <c:numRef>
              <c:f>'[79]BGA 43_Diagramme'!$C$4:$C$15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2"/>
          <c:tx>
            <c:strRef>
              <c:f>'[79]BGA 43_Diagramme'!$E$2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cat>
            <c:strRef>
              <c:f>'[79]BGA 43_Diagramme'!$A$4:$A$16</c:f>
              <c:strCache>
                <c:ptCount val="13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  <c:pt idx="12">
                  <c:v>#REF!</c:v>
                </c:pt>
              </c:strCache>
            </c:strRef>
          </c:cat>
          <c:val>
            <c:numRef>
              <c:f>'[79]BGA 43_Diagramme'!$E$4:$E$15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3"/>
          <c:tx>
            <c:strRef>
              <c:f>'[79]BGA 43_Diagramme'!$D$2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</c:spPr>
          <c:invertIfNegative val="0"/>
          <c:dLbls>
            <c:delete val="1"/>
          </c:dLbls>
          <c:cat>
            <c:strRef>
              <c:f>'[79]BGA 43_Diagramme'!$A$4:$A$16</c:f>
              <c:strCache>
                <c:ptCount val="13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  <c:pt idx="12">
                  <c:v>#REF!</c:v>
                </c:pt>
              </c:strCache>
            </c:strRef>
          </c:cat>
          <c:val>
            <c:numRef>
              <c:f>'[79]BGA 43_Diagramme'!$D$4:$D$15</c:f>
              <c:numCache>
                <c:formatCode>General</c:formatCode>
                <c:ptCount val="12"/>
              </c:numCache>
            </c:numRef>
          </c:val>
        </c:ser>
        <c:ser>
          <c:idx val="7"/>
          <c:order val="4"/>
          <c:tx>
            <c:strRef>
              <c:f>'[79]BGA 43_Diagramme'!$F$2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cat>
            <c:strRef>
              <c:f>'[79]BGA 43_Diagramme'!$A$4:$A$16</c:f>
              <c:strCache>
                <c:ptCount val="13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  <c:pt idx="12">
                  <c:v>#REF!</c:v>
                </c:pt>
              </c:strCache>
            </c:strRef>
          </c:cat>
          <c:val>
            <c:numRef>
              <c:f>'[79]BGA 43_Diagramme'!$F$4:$F$15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64306688"/>
        <c:axId val="264308608"/>
      </c:barChart>
      <c:lineChart>
        <c:grouping val="stacked"/>
        <c:varyColors val="0"/>
        <c:ser>
          <c:idx val="8"/>
          <c:order val="5"/>
          <c:tx>
            <c:strRef>
              <c:f>'[78]BGA 42_Diagramme 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ysClr val="windowText" lastClr="000000"/>
              </a:solidFill>
              <a:ln w="6350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cat>
            <c:strRef>
              <c:f>'[79]BGA 43_Diagramme'!$A$4:$A$15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'[79]BGA 43_Diagramme'!$G$4:$G$15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312704"/>
        <c:axId val="264310784"/>
      </c:lineChart>
      <c:catAx>
        <c:axId val="26430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308608"/>
        <c:crosses val="autoZero"/>
        <c:auto val="1"/>
        <c:lblAlgn val="ctr"/>
        <c:lblOffset val="100"/>
        <c:noMultiLvlLbl val="1"/>
      </c:catAx>
      <c:valAx>
        <c:axId val="26430860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306688"/>
        <c:crosses val="autoZero"/>
        <c:crossBetween val="between"/>
      </c:valAx>
      <c:catAx>
        <c:axId val="264312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310784"/>
        <c:crosses val="autoZero"/>
        <c:auto val="1"/>
        <c:lblAlgn val="ctr"/>
        <c:lblOffset val="100"/>
        <c:noMultiLvlLbl val="1"/>
      </c:catAx>
      <c:valAx>
        <c:axId val="264310784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ysClr val="windowText" lastClr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312704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00207401960784314"/>
          <c:y val="0.836112864442441"/>
          <c:w val="0.992975"/>
          <c:h val="0.1623462077948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964017978079"/>
          <c:y val="0.0525202703722904"/>
          <c:w val="0.854312069748259"/>
          <c:h val="0.8270123996127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'[78]BGA 42_Diagramme '!$F$47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#REF!</c:f>
              <c:numCache>
                <c:formatCode>General</c:formatCode>
                <c:ptCount val="11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ser>
          <c:idx val="1"/>
          <c:order val="1"/>
          <c:tx>
            <c:strRef>
              <c:f>'[78]BGA 42_Diagramme '!$G$47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#REF!</c:f>
              <c:numCache>
                <c:formatCode>General</c:formatCode>
                <c:ptCount val="11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699904"/>
        <c:axId val="264701440"/>
      </c:barChart>
      <c:catAx>
        <c:axId val="26469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701440"/>
        <c:crosses val="autoZero"/>
        <c:auto val="0"/>
        <c:lblAlgn val="ctr"/>
        <c:lblOffset val="100"/>
        <c:noMultiLvlLbl val="0"/>
      </c:catAx>
      <c:valAx>
        <c:axId val="264701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69990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3169003282361"/>
          <c:y val="0.0587923840776289"/>
          <c:w val="0.841976092232082"/>
          <c:h val="0.0719093658934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'[72]BGA 40_Diagramme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('[79]BGA 43_Diagramme'!$D$23,'[79]BGA 43_Diagramme'!$D$25:$D$36)</c:f>
              <c:numCache>
                <c:formatCode>General</c:formatCode>
                <c:ptCount val="13"/>
              </c:numCache>
            </c:numRef>
          </c:cat>
          <c:val>
            <c:numRef>
              <c:f>'[79]BGA 43_Diagramme'!$E$25:$E$36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722304"/>
        <c:axId val="264723840"/>
      </c:barChart>
      <c:catAx>
        <c:axId val="26472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4723840"/>
        <c:crosses val="autoZero"/>
        <c:auto val="1"/>
        <c:lblAlgn val="ctr"/>
        <c:lblOffset val="100"/>
        <c:noMultiLvlLbl val="1"/>
      </c:catAx>
      <c:valAx>
        <c:axId val="2647238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4722304"/>
        <c:crosses val="autoZero"/>
        <c:crossBetween val="between"/>
        <c:minorUnit val="0.0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877957516339869"/>
          <c:y val="0.0502593799151502"/>
          <c:w val="0.810127777777778"/>
          <c:h val="0.750999878967124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'[82]BGA 44_Diagramme'!$G$2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'[82]BGA 44_Diagramme'!$A$4:$A$15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'[82]BGA 44_Diagramme'!$G$4:$G$15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'[82]BGA 44_Diagramme'!$H$2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75000"/>
              </a:srgbClr>
            </a:solidFill>
            <a:ln>
              <a:noFill/>
            </a:ln>
          </c:spPr>
          <c:invertIfNegative val="0"/>
          <c:dLbls>
            <c:delete val="1"/>
          </c:dLbls>
          <c:cat>
            <c:strRef>
              <c:f>'[82]BGA 44_Diagramme'!$A$4:$A$15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'[82]BGA 44_Diagramme'!$H$4:$H$15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2"/>
          <c:tx>
            <c:strRef>
              <c:f>'[82]BGA 44_Diagramme'!$C$2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</c:spPr>
          <c:invertIfNegative val="0"/>
          <c:dLbls>
            <c:delete val="1"/>
          </c:dLbls>
          <c:val>
            <c:numRef>
              <c:f>'[82]BGA 44_Diagramme'!$C$4:$C$15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3"/>
          <c:tx>
            <c:strRef>
              <c:f>'[82]BGA 44_Diagramme'!$B$2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40000"/>
                <a:lumOff val="60000"/>
              </a:srgbClr>
            </a:solidFill>
          </c:spPr>
          <c:invertIfNegative val="0"/>
          <c:dLbls>
            <c:delete val="1"/>
          </c:dLbls>
          <c:val>
            <c:numRef>
              <c:f>'[82]BGA 44_Diagramme'!$B$4:$B$15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4"/>
          <c:tx>
            <c:strRef>
              <c:f>'[82]BGA 44_Diagramme'!$D$2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val>
            <c:numRef>
              <c:f>'[82]BGA 44_Diagramme'!$D$4:$D$15</c:f>
              <c:numCache>
                <c:formatCode>General</c:formatCode>
                <c:ptCount val="12"/>
              </c:numCache>
            </c:numRef>
          </c:val>
        </c:ser>
        <c:ser>
          <c:idx val="7"/>
          <c:order val="6"/>
          <c:tx>
            <c:strRef>
              <c:f>'[82]BGA 44_Diagramme'!$E$2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delete val="1"/>
          </c:dLbls>
          <c:val>
            <c:numRef>
              <c:f>'[82]BGA 44_Diagramme'!$E$4:$E$15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8"/>
          <c:tx>
            <c:strRef>
              <c:f>'[82]BGA 44_Diagramme'!$F$2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val>
            <c:numRef>
              <c:f>'[82]BGA 44_Diagramme'!$F$4:$F$15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549504"/>
        <c:axId val="264551424"/>
        <c:extLst>
          <c:ext xmlns:c15="http://schemas.microsoft.com/office/drawing/2012/chart" uri="{02D57815-91ED-43cb-92C2-25804820EDAC}">
            <c15:filteredBarSeries>
              <c15:ser>
                <c:idx val="6"/>
                <c:order val="5"/>
                <c:tx>
                  <c:strRef>
                    <c:extLst>
                      <c:ext uri="{02D57815-91ED-43cb-92C2-25804820EDAC}">
                        <c15:formulaRef>
                          <c15:sqref>'[82]BGA 44_Diagramme'!$I$2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'[82]BGA 44_Diagramme'!$I$4:$I$15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8"/>
          <c:order val="7"/>
          <c:tx>
            <c:strRef>
              <c:f>'[82]BGA 44_Diagramme'!$J$2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ysClr val="windowText" lastClr="000000"/>
              </a:solidFill>
              <a:ln w="6350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'[82]BGA 44_Diagramme'!$J$4:$J$15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567808"/>
        <c:axId val="264565888"/>
      </c:lineChart>
      <c:catAx>
        <c:axId val="264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551424"/>
        <c:crosses val="autoZero"/>
        <c:auto val="1"/>
        <c:lblAlgn val="ctr"/>
        <c:lblOffset val="100"/>
        <c:noMultiLvlLbl val="1"/>
      </c:catAx>
      <c:valAx>
        <c:axId val="264551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549504"/>
        <c:crosses val="autoZero"/>
        <c:crossBetween val="between"/>
      </c:valAx>
      <c:catAx>
        <c:axId val="26456780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565888"/>
        <c:crosses val="autoZero"/>
        <c:auto val="1"/>
        <c:lblAlgn val="ctr"/>
        <c:lblOffset val="100"/>
        <c:noMultiLvlLbl val="0"/>
      </c:catAx>
      <c:valAx>
        <c:axId val="264565888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ysClr val="windowText" lastClr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567808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0757501036983246"/>
          <c:y val="0.866992627856492"/>
          <c:w val="0.899442729225003"/>
          <c:h val="0.13108190201612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Fütterungsmenge BGA Gesamt</a:t>
            </a:r>
            <a:endParaRPr lang="de-DE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94951346296277"/>
          <c:y val="0.131760386502607"/>
          <c:w val="0.701478758588206"/>
          <c:h val="0.698866609285175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[19]Auswertung!$Q$2</c:f>
              <c:strCache>
                <c:ptCount val="1"/>
                <c:pt idx="0">
                  <c:v>Futterreste + 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[19]Auswertung!$Q$4:$Q$15</c:f>
              <c:numCache>
                <c:formatCode>General</c:formatCode>
                <c:ptCount val="12"/>
                <c:pt idx="0">
                  <c:v>4.47894893998208</c:v>
                </c:pt>
                <c:pt idx="1">
                  <c:v>4.67241826282504</c:v>
                </c:pt>
                <c:pt idx="2">
                  <c:v>4.2032348095094</c:v>
                </c:pt>
                <c:pt idx="3">
                  <c:v>5.19053621252935</c:v>
                </c:pt>
                <c:pt idx="4">
                  <c:v>4.5522308280596</c:v>
                </c:pt>
                <c:pt idx="5">
                  <c:v>4.78488523110996</c:v>
                </c:pt>
                <c:pt idx="6">
                  <c:v>4.26979130912903</c:v>
                </c:pt>
                <c:pt idx="7">
                  <c:v>4.52330951861131</c:v>
                </c:pt>
                <c:pt idx="8">
                  <c:v>4.62815326532635</c:v>
                </c:pt>
                <c:pt idx="9">
                  <c:v>4.91525445944653</c:v>
                </c:pt>
                <c:pt idx="10">
                  <c:v>4.72412914488995</c:v>
                </c:pt>
                <c:pt idx="11">
                  <c:v>4.45349573556234</c:v>
                </c:pt>
              </c:numCache>
            </c:numRef>
          </c:val>
        </c:ser>
        <c:ser>
          <c:idx val="6"/>
          <c:order val="1"/>
          <c:tx>
            <c:strRef>
              <c:f>[19]Auswertung!$R$2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[19]Auswertung!$R$4:$R$15</c:f>
              <c:numCache>
                <c:formatCode>General</c:formatCode>
                <c:ptCount val="12"/>
                <c:pt idx="0">
                  <c:v>55.4792475365781</c:v>
                </c:pt>
                <c:pt idx="1">
                  <c:v>56.4910440292524</c:v>
                </c:pt>
                <c:pt idx="2">
                  <c:v>61.1990988264568</c:v>
                </c:pt>
                <c:pt idx="3">
                  <c:v>62.4873585327727</c:v>
                </c:pt>
                <c:pt idx="4">
                  <c:v>57.5636930515923</c:v>
                </c:pt>
                <c:pt idx="5">
                  <c:v>59.1275103558587</c:v>
                </c:pt>
                <c:pt idx="6">
                  <c:v>62.366500153988</c:v>
                </c:pt>
                <c:pt idx="7">
                  <c:v>59.5870640585063</c:v>
                </c:pt>
                <c:pt idx="8">
                  <c:v>58.6431807296836</c:v>
                </c:pt>
                <c:pt idx="9">
                  <c:v>57.1480251818316</c:v>
                </c:pt>
                <c:pt idx="10">
                  <c:v>49.7405081578091</c:v>
                </c:pt>
                <c:pt idx="11">
                  <c:v>50.5687257715466</c:v>
                </c:pt>
              </c:numCache>
            </c:numRef>
          </c:val>
        </c:ser>
        <c:ser>
          <c:idx val="1"/>
          <c:order val="2"/>
          <c:tx>
            <c:strRef>
              <c:f>[19]Auswertung!$M$2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[19]Auswertung!$M$4:$M$15</c:f>
              <c:numCache>
                <c:formatCode>General</c:formatCode>
                <c:ptCount val="12"/>
                <c:pt idx="0">
                  <c:v>1.58256195879367</c:v>
                </c:pt>
                <c:pt idx="1">
                  <c:v>2.0679218892245</c:v>
                </c:pt>
                <c:pt idx="2">
                  <c:v>2.18568210094489</c:v>
                </c:pt>
                <c:pt idx="3">
                  <c:v>1.03140977642519</c:v>
                </c:pt>
                <c:pt idx="4">
                  <c:v>2.03235079549499</c:v>
                </c:pt>
                <c:pt idx="5">
                  <c:v>2.01648734739634</c:v>
                </c:pt>
                <c:pt idx="6">
                  <c:v>1.70791652365161</c:v>
                </c:pt>
                <c:pt idx="7">
                  <c:v>1.11574968125746</c:v>
                </c:pt>
                <c:pt idx="8">
                  <c:v>1.80945863147598</c:v>
                </c:pt>
                <c:pt idx="9">
                  <c:v>1.82192098630151</c:v>
                </c:pt>
                <c:pt idx="10">
                  <c:v>1.85771044928602</c:v>
                </c:pt>
                <c:pt idx="11">
                  <c:v>3.18927759127368</c:v>
                </c:pt>
              </c:numCache>
            </c:numRef>
          </c:val>
        </c:ser>
        <c:ser>
          <c:idx val="2"/>
          <c:order val="3"/>
          <c:tx>
            <c:strRef>
              <c:f>[19]Auswertung!$N$2</c:f>
              <c:strCache>
                <c:ptCount val="1"/>
                <c:pt idx="0">
                  <c:v>Roggen-GPS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[19]Auswertung!$N$4:$N$15</c:f>
              <c:numCache>
                <c:formatCode>General</c:formatCode>
                <c:ptCount val="12"/>
                <c:pt idx="0">
                  <c:v>4.59540161242162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6.53886131249091</c:v>
                </c:pt>
                <c:pt idx="10">
                  <c:v>18.9451598706259</c:v>
                </c:pt>
                <c:pt idx="11">
                  <c:v>20.4584974422568</c:v>
                </c:pt>
              </c:numCache>
            </c:numRef>
          </c:val>
        </c:ser>
        <c:ser>
          <c:idx val="4"/>
          <c:order val="4"/>
          <c:tx>
            <c:strRef>
              <c:f>[19]Auswertung!$P$2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[19]Auswertung!$P$4:$P$15</c:f>
              <c:numCache>
                <c:formatCode>General</c:formatCode>
                <c:ptCount val="12"/>
                <c:pt idx="0">
                  <c:v>31.1024186324276</c:v>
                </c:pt>
                <c:pt idx="1">
                  <c:v>33.8904061687979</c:v>
                </c:pt>
                <c:pt idx="2">
                  <c:v>29.266283331652</c:v>
                </c:pt>
                <c:pt idx="3">
                  <c:v>26.9230099484161</c:v>
                </c:pt>
                <c:pt idx="4">
                  <c:v>33.0085487958028</c:v>
                </c:pt>
                <c:pt idx="5">
                  <c:v>30.2354163533706</c:v>
                </c:pt>
                <c:pt idx="6">
                  <c:v>28.9616914323745</c:v>
                </c:pt>
                <c:pt idx="7">
                  <c:v>30.9129003581255</c:v>
                </c:pt>
                <c:pt idx="8">
                  <c:v>29.9537662418321</c:v>
                </c:pt>
                <c:pt idx="9">
                  <c:v>26.3373752016893</c:v>
                </c:pt>
                <c:pt idx="10">
                  <c:v>21.8132853483725</c:v>
                </c:pt>
                <c:pt idx="11">
                  <c:v>18.5866500862542</c:v>
                </c:pt>
              </c:numCache>
            </c:numRef>
          </c:val>
        </c:ser>
        <c:ser>
          <c:idx val="3"/>
          <c:order val="5"/>
          <c:tx>
            <c:strRef>
              <c:f>[19]Auswertung!$O$2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[19]Auswertung!$O$4:$O$15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0.554266563547306</c:v>
                </c:pt>
                <c:pt idx="3">
                  <c:v>1.17031522293855</c:v>
                </c:pt>
                <c:pt idx="4">
                  <c:v>0.0390023389655687</c:v>
                </c:pt>
                <c:pt idx="5">
                  <c:v>0.880008749504423</c:v>
                </c:pt>
                <c:pt idx="6">
                  <c:v>0.0639091344334152</c:v>
                </c:pt>
                <c:pt idx="7">
                  <c:v>1.07220528829162</c:v>
                </c:pt>
                <c:pt idx="8">
                  <c:v>2.11449872024097</c:v>
                </c:pt>
                <c:pt idx="9">
                  <c:v>0.208144642176029</c:v>
                </c:pt>
                <c:pt idx="10">
                  <c:v>0.00914347576430314</c:v>
                </c:pt>
                <c:pt idx="11">
                  <c:v>0</c:v>
                </c:pt>
              </c:numCache>
            </c:numRef>
          </c:val>
        </c:ser>
        <c:ser>
          <c:idx val="0"/>
          <c:order val="7"/>
          <c:tx>
            <c:strRef>
              <c:f>[19]Auswertung!$L$2</c:f>
              <c:strCache>
                <c:ptCount val="1"/>
                <c:pt idx="0">
                  <c:v>Prozesswasser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[19]Auswertung!$L$4:$L$15</c:f>
              <c:numCache>
                <c:formatCode>General</c:formatCode>
                <c:ptCount val="12"/>
                <c:pt idx="0">
                  <c:v>2.68736936398925</c:v>
                </c:pt>
                <c:pt idx="1">
                  <c:v>2.80345095769502</c:v>
                </c:pt>
                <c:pt idx="2">
                  <c:v>2.52194088570564</c:v>
                </c:pt>
                <c:pt idx="3">
                  <c:v>3.11432172751761</c:v>
                </c:pt>
                <c:pt idx="4">
                  <c:v>2.73133849683576</c:v>
                </c:pt>
                <c:pt idx="5">
                  <c:v>2.87093113866597</c:v>
                </c:pt>
                <c:pt idx="6">
                  <c:v>2.56187478547742</c:v>
                </c:pt>
                <c:pt idx="7">
                  <c:v>2.71398571116678</c:v>
                </c:pt>
                <c:pt idx="8">
                  <c:v>2.77689195919581</c:v>
                </c:pt>
                <c:pt idx="9">
                  <c:v>2.94915267566792</c:v>
                </c:pt>
                <c:pt idx="10">
                  <c:v>2.83447748693397</c:v>
                </c:pt>
                <c:pt idx="11">
                  <c:v>2.67209744133741</c:v>
                </c:pt>
              </c:numCache>
            </c:numRef>
          </c:val>
        </c:ser>
        <c:ser>
          <c:idx val="8"/>
          <c:order val="8"/>
          <c:tx>
            <c:strRef>
              <c:f>[19]Auswertung!$T$2</c:f>
              <c:strCache>
                <c:ptCount val="1"/>
                <c:pt idx="0">
                  <c:v>Rezirkulat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[19]Auswertung!$T$4:$T$15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[19]Auswertung!$U$2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[19]Auswertung!$U$4:$U$15</c:f>
              <c:numCache>
                <c:formatCode>General</c:formatCode>
                <c:ptCount val="12"/>
                <c:pt idx="0">
                  <c:v>0.0740519558077038</c:v>
                </c:pt>
                <c:pt idx="1">
                  <c:v>0.0747586922052006</c:v>
                </c:pt>
                <c:pt idx="2">
                  <c:v>0.0694934821838887</c:v>
                </c:pt>
                <c:pt idx="3">
                  <c:v>0.0830485794004696</c:v>
                </c:pt>
                <c:pt idx="4">
                  <c:v>0.0728356932489536</c:v>
                </c:pt>
                <c:pt idx="5">
                  <c:v>0.0847608240939478</c:v>
                </c:pt>
                <c:pt idx="6">
                  <c:v>0.0683166609460645</c:v>
                </c:pt>
                <c:pt idx="7">
                  <c:v>0.0747853840410403</c:v>
                </c:pt>
                <c:pt idx="8">
                  <c:v>0.0740504522452217</c:v>
                </c:pt>
                <c:pt idx="9">
                  <c:v>0.0812655403961826</c:v>
                </c:pt>
                <c:pt idx="10">
                  <c:v>0.0755860663182393</c:v>
                </c:pt>
                <c:pt idx="11">
                  <c:v>0.0712559317689975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64660096"/>
        <c:axId val="264662016"/>
      </c:barChart>
      <c:lineChart>
        <c:grouping val="stacked"/>
        <c:varyColors val="0"/>
        <c:ser>
          <c:idx val="10"/>
          <c:order val="10"/>
          <c:tx>
            <c:strRef>
              <c:f>"Güllebonus"</c:f>
              <c:strCache>
                <c:ptCount val="1"/>
                <c:pt idx="0">
                  <c:v>Güllebonus</c:v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{30,30,30,30,30,30,30,30,30,30,30,30}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64660096"/>
        <c:axId val="264662016"/>
      </c:lineChart>
      <c:lineChart>
        <c:grouping val="stacked"/>
        <c:varyColors val="0"/>
        <c:ser>
          <c:idx val="7"/>
          <c:order val="6"/>
          <c:tx>
            <c:strRef>
              <c:f>[19]Auswertung!$S$2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[19]Auswertung!$S$4:$S$15</c:f>
              <c:numCache>
                <c:formatCode>General</c:formatCode>
                <c:ptCount val="12"/>
                <c:pt idx="0">
                  <c:v>55.8166666666667</c:v>
                </c:pt>
                <c:pt idx="1">
                  <c:v>53.5054838709677</c:v>
                </c:pt>
                <c:pt idx="2">
                  <c:v>59.478</c:v>
                </c:pt>
                <c:pt idx="3">
                  <c:v>48.1645806451613</c:v>
                </c:pt>
                <c:pt idx="4">
                  <c:v>54.9181290322581</c:v>
                </c:pt>
                <c:pt idx="5">
                  <c:v>52.2478571428571</c:v>
                </c:pt>
                <c:pt idx="6">
                  <c:v>58.5508709677419</c:v>
                </c:pt>
                <c:pt idx="7">
                  <c:v>55.2692666666667</c:v>
                </c:pt>
                <c:pt idx="8">
                  <c:v>54.0172258064516</c:v>
                </c:pt>
                <c:pt idx="9">
                  <c:v>50.8620666666667</c:v>
                </c:pt>
                <c:pt idx="10">
                  <c:v>52.9198064516129</c:v>
                </c:pt>
                <c:pt idx="11">
                  <c:v>56.1356774193548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670208"/>
        <c:axId val="264668288"/>
      </c:lineChart>
      <c:catAx>
        <c:axId val="26466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662016"/>
        <c:crosses val="autoZero"/>
        <c:auto val="1"/>
        <c:lblAlgn val="ctr"/>
        <c:lblOffset val="100"/>
        <c:noMultiLvlLbl val="1"/>
      </c:catAx>
      <c:valAx>
        <c:axId val="26466201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Frischmassantrag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660096"/>
        <c:crosses val="autoZero"/>
        <c:crossBetween val="between"/>
      </c:valAx>
      <c:catAx>
        <c:axId val="26467020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668288"/>
        <c:crosses val="autoZero"/>
        <c:auto val="1"/>
        <c:lblAlgn val="ctr"/>
        <c:lblOffset val="100"/>
        <c:noMultiLvlLbl val="0"/>
      </c:catAx>
      <c:valAx>
        <c:axId val="2646682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aseline="0">
                    <a:effectLst/>
                  </a:rPr>
                  <a:t>mittlerer täglicher Frischmasseeintrag [t/d]</a:t>
                </a:r>
                <a:endParaRPr lang="de-DE" sz="1200" baseline="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670208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862309945212571"/>
          <c:y val="0.243968446378614"/>
          <c:w val="0.137690083928066"/>
          <c:h val="0.455468774905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458575544497"/>
          <c:y val="0.0478238539375517"/>
          <c:w val="0.856095719923881"/>
          <c:h val="0.8308404707469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'[82]BGA 44_Diagramme'!$F$47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'[82]BGA 44_Diagramme'!$A$49:$A$60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'[82]BGA 44_Diagramme'!$F$49:$F$60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'[82]BGA 44_Diagramme'!$G$47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'[82]BGA 44_Diagramme'!$A$49:$A$60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'[82]BGA 44_Diagramme'!$G$49:$G$60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106944"/>
        <c:axId val="265108480"/>
      </c:barChart>
      <c:catAx>
        <c:axId val="26510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108480"/>
        <c:crosses val="autoZero"/>
        <c:auto val="0"/>
        <c:lblAlgn val="ctr"/>
        <c:lblOffset val="100"/>
        <c:noMultiLvlLbl val="0"/>
      </c:catAx>
      <c:valAx>
        <c:axId val="2651084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10694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32606555238284"/>
          <c:y val="0.0473924468937013"/>
          <c:w val="0.844974893587759"/>
          <c:h val="0.05239670749655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"Fermenter"</c:f>
              <c:strCache>
                <c:ptCount val="1"/>
                <c:pt idx="0">
                  <c:v>Fermenter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'[82]BGA 44_Diagramme'!$C$25:$C$36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'[82]BGA 44_Diagramme'!$D$25:$D$36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133440"/>
        <c:axId val="265139328"/>
      </c:barChart>
      <c:catAx>
        <c:axId val="26513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5139328"/>
        <c:crosses val="autoZero"/>
        <c:auto val="1"/>
        <c:lblAlgn val="ctr"/>
        <c:lblOffset val="100"/>
        <c:noMultiLvlLbl val="1"/>
      </c:catAx>
      <c:valAx>
        <c:axId val="2651393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5133440"/>
        <c:crosses val="autoZero"/>
        <c:crossBetween val="between"/>
        <c:majorUnit val="0.1"/>
        <c:minorUnit val="0.0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98171568627451"/>
          <c:y val="0.0502593799151502"/>
          <c:w val="0.803456045751634"/>
          <c:h val="0.802729795656161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'[84]BGA 45_Diagramme 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50000"/>
              </a:srgbClr>
            </a:solidFill>
          </c:spPr>
          <c:invertIfNegative val="0"/>
          <c:dLbls>
            <c:delete val="1"/>
          </c:dLbls>
          <c:cat>
            <c:strRef>
              <c:f>'[84]BGA 45_Diagramme 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'[84]BGA 45_Diagramme '!$AE$34:$AE$45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2"/>
          <c:tx>
            <c:strRef>
              <c:f>'[84]BGA 45_Diagramme '!$D$2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Lbls>
            <c:delete val="1"/>
          </c:dLbls>
          <c:val>
            <c:numRef>
              <c:f>'[84]BGA 45_Diagramme '!$AB$34:$AB$45</c:f>
              <c:numCache>
                <c:formatCode>General</c:formatCode>
                <c:ptCount val="12"/>
              </c:numCache>
            </c:numRef>
          </c:val>
        </c:ser>
        <c:ser>
          <c:idx val="7"/>
          <c:order val="5"/>
          <c:tx>
            <c:strRef>
              <c:f>'[84]BGA 45_Diagramme '!$E$2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ED7D31"/>
            </a:solidFill>
          </c:spPr>
          <c:invertIfNegative val="0"/>
          <c:dLbls>
            <c:delete val="1"/>
          </c:dLbls>
          <c:val>
            <c:numRef>
              <c:f>'[84]BGA 45_Diagramme '!$AC$34:$AC$45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423296"/>
        <c:axId val="264425472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'[84]BGA 45_Diagramme '!$H$2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rgbClr val="FFC000">
                      <a:lumMod val="75000"/>
                    </a:srgbClr>
                  </a:solidFill>
                  <a:ln>
                    <a:noFill/>
                  </a:ln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'[84]BGA 45_Diagramme '!$A$4:$A$15</c15:sqref>
                        </c15:formulaRef>
                      </c:ext>
                    </c:extLst>
                    <c:strCache>
                      <c:ptCount val="12"/>
                      <c:pt idx="0">
                        <c:v>#REF!</c:v>
                      </c:pt>
                      <c:pt idx="1">
                        <c:v>#REF!</c:v>
                      </c:pt>
                      <c:pt idx="2">
                        <c:v>#REF!</c:v>
                      </c:pt>
                      <c:pt idx="3">
                        <c:v>#REF!</c:v>
                      </c:pt>
                      <c:pt idx="4">
                        <c:v>#REF!</c:v>
                      </c:pt>
                      <c:pt idx="5">
                        <c:v>#REF!</c:v>
                      </c:pt>
                      <c:pt idx="6">
                        <c:v>#REF!</c:v>
                      </c:pt>
                      <c:pt idx="7">
                        <c:v>#REF!</c:v>
                      </c:pt>
                      <c:pt idx="8">
                        <c:v>#REF!</c:v>
                      </c:pt>
                      <c:pt idx="9">
                        <c:v>#REF!</c:v>
                      </c:pt>
                      <c:pt idx="10">
                        <c:v>#REF!</c:v>
                      </c:pt>
                      <c:pt idx="11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'[84]BGA 45_Diagramme 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'[84]BGA 45_Diagramme '!$B$2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'[84]BGA 45_Diagramme '!$B$4:$B$15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'[84]BGA 45_Diagramme '!$I$2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'[84]BGA 45_Diagramme 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  <c15:filteredBarSeries>
              <c15:ser>
                <c:idx val="3"/>
                <c:order val="7"/>
                <c:tx>
                  <c:strRef>
                    <c:extLst>
                      <c:ext uri="{02D57815-91ED-43cb-92C2-25804820EDAC}">
                        <c15:formulaRef>
                          <c15:sqref>'[84]BGA 45_Diagramme '!$F$2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'[84]BGA 45_Diagramme '!$F$4:$F$15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</c15:ser>
            </c15:filteredBarSeries>
          </c:ext>
        </c:extLst>
      </c:barChart>
      <c:lineChart>
        <c:grouping val="stacked"/>
        <c:varyColors val="0"/>
        <c:ser>
          <c:idx val="8"/>
          <c:order val="6"/>
          <c:tx>
            <c:strRef>
              <c:f>'[84]BGA 45_Diagramme 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ysClr val="windowText" lastClr="000000"/>
              </a:solidFill>
              <a:ln w="6350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'[84]BGA 45_Diagramme '!$J$4:$J$15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162752"/>
        <c:axId val="264427392"/>
      </c:lineChart>
      <c:catAx>
        <c:axId val="26442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425472"/>
        <c:crosses val="autoZero"/>
        <c:auto val="1"/>
        <c:lblAlgn val="ctr"/>
        <c:lblOffset val="100"/>
        <c:noMultiLvlLbl val="1"/>
      </c:catAx>
      <c:valAx>
        <c:axId val="26442547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423296"/>
        <c:crosses val="autoZero"/>
        <c:crossBetween val="between"/>
      </c:valAx>
      <c:catAx>
        <c:axId val="2651627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427392"/>
        <c:crosses val="autoZero"/>
        <c:auto val="1"/>
        <c:lblAlgn val="ctr"/>
        <c:lblOffset val="100"/>
        <c:noMultiLvlLbl val="0"/>
      </c:catAx>
      <c:valAx>
        <c:axId val="264427392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ysClr val="windowText" lastClr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5162752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0757501036983246"/>
          <c:y val="0.903942568348662"/>
          <c:w val="0.886309523125588"/>
          <c:h val="0.09413196152395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Fütterungsmenge BGA Gesamt</a:t>
            </a:r>
            <a:endParaRPr lang="de-DE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94951346296277"/>
          <c:y val="0.131760386502607"/>
          <c:w val="0.701478758588206"/>
          <c:h val="0.698866609285175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[19]Auswertung!$Q$2</c:f>
              <c:strCache>
                <c:ptCount val="1"/>
                <c:pt idx="0">
                  <c:v>Futterreste + 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[19]Auswertung!$Q$4:$Q$15</c:f>
              <c:numCache>
                <c:formatCode>General</c:formatCode>
                <c:ptCount val="12"/>
                <c:pt idx="0">
                  <c:v>4.47894893998208</c:v>
                </c:pt>
                <c:pt idx="1">
                  <c:v>4.67241826282504</c:v>
                </c:pt>
                <c:pt idx="2">
                  <c:v>4.2032348095094</c:v>
                </c:pt>
                <c:pt idx="3">
                  <c:v>5.19053621252935</c:v>
                </c:pt>
                <c:pt idx="4">
                  <c:v>4.5522308280596</c:v>
                </c:pt>
                <c:pt idx="5">
                  <c:v>4.78488523110996</c:v>
                </c:pt>
                <c:pt idx="6">
                  <c:v>4.26979130912903</c:v>
                </c:pt>
                <c:pt idx="7">
                  <c:v>4.52330951861131</c:v>
                </c:pt>
                <c:pt idx="8">
                  <c:v>4.62815326532635</c:v>
                </c:pt>
                <c:pt idx="9">
                  <c:v>4.91525445944653</c:v>
                </c:pt>
                <c:pt idx="10">
                  <c:v>4.72412914488995</c:v>
                </c:pt>
                <c:pt idx="11">
                  <c:v>4.45349573556234</c:v>
                </c:pt>
              </c:numCache>
            </c:numRef>
          </c:val>
        </c:ser>
        <c:ser>
          <c:idx val="6"/>
          <c:order val="1"/>
          <c:tx>
            <c:strRef>
              <c:f>[19]Auswertung!$R$2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[19]Auswertung!$R$4:$R$15</c:f>
              <c:numCache>
                <c:formatCode>General</c:formatCode>
                <c:ptCount val="12"/>
                <c:pt idx="0">
                  <c:v>55.4792475365781</c:v>
                </c:pt>
                <c:pt idx="1">
                  <c:v>56.4910440292524</c:v>
                </c:pt>
                <c:pt idx="2">
                  <c:v>61.1990988264568</c:v>
                </c:pt>
                <c:pt idx="3">
                  <c:v>62.4873585327727</c:v>
                </c:pt>
                <c:pt idx="4">
                  <c:v>57.5636930515923</c:v>
                </c:pt>
                <c:pt idx="5">
                  <c:v>59.1275103558587</c:v>
                </c:pt>
                <c:pt idx="6">
                  <c:v>62.366500153988</c:v>
                </c:pt>
                <c:pt idx="7">
                  <c:v>59.5870640585063</c:v>
                </c:pt>
                <c:pt idx="8">
                  <c:v>58.6431807296836</c:v>
                </c:pt>
                <c:pt idx="9">
                  <c:v>57.1480251818316</c:v>
                </c:pt>
                <c:pt idx="10">
                  <c:v>49.7405081578091</c:v>
                </c:pt>
                <c:pt idx="11">
                  <c:v>50.5687257715466</c:v>
                </c:pt>
              </c:numCache>
            </c:numRef>
          </c:val>
        </c:ser>
        <c:ser>
          <c:idx val="1"/>
          <c:order val="2"/>
          <c:tx>
            <c:strRef>
              <c:f>[19]Auswertung!$M$2</c:f>
              <c:strCache>
                <c:ptCount val="1"/>
                <c:pt idx="0">
                  <c:v>Getreideschrot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[19]Auswertung!$M$4:$M$15</c:f>
              <c:numCache>
                <c:formatCode>General</c:formatCode>
                <c:ptCount val="12"/>
                <c:pt idx="0">
                  <c:v>1.58256195879367</c:v>
                </c:pt>
                <c:pt idx="1">
                  <c:v>2.0679218892245</c:v>
                </c:pt>
                <c:pt idx="2">
                  <c:v>2.18568210094489</c:v>
                </c:pt>
                <c:pt idx="3">
                  <c:v>1.03140977642519</c:v>
                </c:pt>
                <c:pt idx="4">
                  <c:v>2.03235079549499</c:v>
                </c:pt>
                <c:pt idx="5">
                  <c:v>2.01648734739634</c:v>
                </c:pt>
                <c:pt idx="6">
                  <c:v>1.70791652365161</c:v>
                </c:pt>
                <c:pt idx="7">
                  <c:v>1.11574968125746</c:v>
                </c:pt>
                <c:pt idx="8">
                  <c:v>1.80945863147598</c:v>
                </c:pt>
                <c:pt idx="9">
                  <c:v>1.82192098630151</c:v>
                </c:pt>
                <c:pt idx="10">
                  <c:v>1.85771044928602</c:v>
                </c:pt>
                <c:pt idx="11">
                  <c:v>3.18927759127368</c:v>
                </c:pt>
              </c:numCache>
            </c:numRef>
          </c:val>
        </c:ser>
        <c:ser>
          <c:idx val="2"/>
          <c:order val="3"/>
          <c:tx>
            <c:strRef>
              <c:f>[19]Auswertung!$N$2</c:f>
              <c:strCache>
                <c:ptCount val="1"/>
                <c:pt idx="0">
                  <c:v>Roggen-GPS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[19]Auswertung!$N$4:$N$15</c:f>
              <c:numCache>
                <c:formatCode>General</c:formatCode>
                <c:ptCount val="12"/>
                <c:pt idx="0">
                  <c:v>4.59540161242162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6.53886131249091</c:v>
                </c:pt>
                <c:pt idx="10">
                  <c:v>18.9451598706259</c:v>
                </c:pt>
                <c:pt idx="11">
                  <c:v>20.4584974422568</c:v>
                </c:pt>
              </c:numCache>
            </c:numRef>
          </c:val>
        </c:ser>
        <c:ser>
          <c:idx val="4"/>
          <c:order val="4"/>
          <c:tx>
            <c:strRef>
              <c:f>[19]Auswertung!$P$2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[19]Auswertung!$P$4:$P$15</c:f>
              <c:numCache>
                <c:formatCode>General</c:formatCode>
                <c:ptCount val="12"/>
                <c:pt idx="0">
                  <c:v>31.1024186324276</c:v>
                </c:pt>
                <c:pt idx="1">
                  <c:v>33.8904061687979</c:v>
                </c:pt>
                <c:pt idx="2">
                  <c:v>29.266283331652</c:v>
                </c:pt>
                <c:pt idx="3">
                  <c:v>26.9230099484161</c:v>
                </c:pt>
                <c:pt idx="4">
                  <c:v>33.0085487958028</c:v>
                </c:pt>
                <c:pt idx="5">
                  <c:v>30.2354163533706</c:v>
                </c:pt>
                <c:pt idx="6">
                  <c:v>28.9616914323745</c:v>
                </c:pt>
                <c:pt idx="7">
                  <c:v>30.9129003581255</c:v>
                </c:pt>
                <c:pt idx="8">
                  <c:v>29.9537662418321</c:v>
                </c:pt>
                <c:pt idx="9">
                  <c:v>26.3373752016893</c:v>
                </c:pt>
                <c:pt idx="10">
                  <c:v>21.8132853483725</c:v>
                </c:pt>
                <c:pt idx="11">
                  <c:v>18.5866500862542</c:v>
                </c:pt>
              </c:numCache>
            </c:numRef>
          </c:val>
        </c:ser>
        <c:ser>
          <c:idx val="3"/>
          <c:order val="5"/>
          <c:tx>
            <c:strRef>
              <c:f>[19]Auswertung!$O$2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[19]Auswertung!$O$4:$O$15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0.554266563547306</c:v>
                </c:pt>
                <c:pt idx="3">
                  <c:v>1.17031522293855</c:v>
                </c:pt>
                <c:pt idx="4">
                  <c:v>0.0390023389655687</c:v>
                </c:pt>
                <c:pt idx="5">
                  <c:v>0.880008749504423</c:v>
                </c:pt>
                <c:pt idx="6">
                  <c:v>0.0639091344334152</c:v>
                </c:pt>
                <c:pt idx="7">
                  <c:v>1.07220528829162</c:v>
                </c:pt>
                <c:pt idx="8">
                  <c:v>2.11449872024097</c:v>
                </c:pt>
                <c:pt idx="9">
                  <c:v>0.208144642176029</c:v>
                </c:pt>
                <c:pt idx="10">
                  <c:v>0.00914347576430314</c:v>
                </c:pt>
                <c:pt idx="11">
                  <c:v>0</c:v>
                </c:pt>
              </c:numCache>
            </c:numRef>
          </c:val>
        </c:ser>
        <c:ser>
          <c:idx val="0"/>
          <c:order val="7"/>
          <c:tx>
            <c:strRef>
              <c:f>[19]Auswertung!$L$2</c:f>
              <c:strCache>
                <c:ptCount val="1"/>
                <c:pt idx="0">
                  <c:v>Prozesswasser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[19]Auswertung!$L$4:$L$15</c:f>
              <c:numCache>
                <c:formatCode>General</c:formatCode>
                <c:ptCount val="12"/>
                <c:pt idx="0">
                  <c:v>2.68736936398925</c:v>
                </c:pt>
                <c:pt idx="1">
                  <c:v>2.80345095769502</c:v>
                </c:pt>
                <c:pt idx="2">
                  <c:v>2.52194088570564</c:v>
                </c:pt>
                <c:pt idx="3">
                  <c:v>3.11432172751761</c:v>
                </c:pt>
                <c:pt idx="4">
                  <c:v>2.73133849683576</c:v>
                </c:pt>
                <c:pt idx="5">
                  <c:v>2.87093113866597</c:v>
                </c:pt>
                <c:pt idx="6">
                  <c:v>2.56187478547742</c:v>
                </c:pt>
                <c:pt idx="7">
                  <c:v>2.71398571116678</c:v>
                </c:pt>
                <c:pt idx="8">
                  <c:v>2.77689195919581</c:v>
                </c:pt>
                <c:pt idx="9">
                  <c:v>2.94915267566792</c:v>
                </c:pt>
                <c:pt idx="10">
                  <c:v>2.83447748693397</c:v>
                </c:pt>
                <c:pt idx="11">
                  <c:v>2.67209744133741</c:v>
                </c:pt>
              </c:numCache>
            </c:numRef>
          </c:val>
        </c:ser>
        <c:ser>
          <c:idx val="8"/>
          <c:order val="8"/>
          <c:tx>
            <c:strRef>
              <c:f>[19]Auswertung!$T$2</c:f>
              <c:strCache>
                <c:ptCount val="1"/>
                <c:pt idx="0">
                  <c:v>Rezirkulat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[19]Auswertung!$T$4:$T$15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[19]Auswertung!$U$2</c:f>
              <c:strCache>
                <c:ptCount val="1"/>
                <c:pt idx="0">
                  <c:v>Additive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[19]Auswertung!$K$4:$K$15</c:f>
              <c:numCache>
                <c:formatCode>General</c:formatCode>
                <c:ptCount val="12"/>
                <c:pt idx="0">
                  <c:v>42614</c:v>
                </c:pt>
                <c:pt idx="1">
                  <c:v>42644</c:v>
                </c:pt>
                <c:pt idx="2">
                  <c:v>42675</c:v>
                </c:pt>
                <c:pt idx="3">
                  <c:v>42705</c:v>
                </c:pt>
                <c:pt idx="4">
                  <c:v>42736</c:v>
                </c:pt>
                <c:pt idx="5">
                  <c:v>42767</c:v>
                </c:pt>
                <c:pt idx="6">
                  <c:v>42795</c:v>
                </c:pt>
                <c:pt idx="7">
                  <c:v>42826</c:v>
                </c:pt>
                <c:pt idx="8">
                  <c:v>42856</c:v>
                </c:pt>
                <c:pt idx="9">
                  <c:v>42887</c:v>
                </c:pt>
                <c:pt idx="10">
                  <c:v>42917</c:v>
                </c:pt>
                <c:pt idx="11">
                  <c:v>42948</c:v>
                </c:pt>
              </c:numCache>
            </c:numRef>
          </c:cat>
          <c:val>
            <c:numRef>
              <c:f>[19]Auswertung!$U$4:$U$15</c:f>
              <c:numCache>
                <c:formatCode>General</c:formatCode>
                <c:ptCount val="12"/>
                <c:pt idx="0">
                  <c:v>0.0740519558077038</c:v>
                </c:pt>
                <c:pt idx="1">
                  <c:v>0.0747586922052006</c:v>
                </c:pt>
                <c:pt idx="2">
                  <c:v>0.0694934821838887</c:v>
                </c:pt>
                <c:pt idx="3">
                  <c:v>0.0830485794004696</c:v>
                </c:pt>
                <c:pt idx="4">
                  <c:v>0.0728356932489536</c:v>
                </c:pt>
                <c:pt idx="5">
                  <c:v>0.0847608240939478</c:v>
                </c:pt>
                <c:pt idx="6">
                  <c:v>0.0683166609460645</c:v>
                </c:pt>
                <c:pt idx="7">
                  <c:v>0.0747853840410403</c:v>
                </c:pt>
                <c:pt idx="8">
                  <c:v>0.0740504522452217</c:v>
                </c:pt>
                <c:pt idx="9">
                  <c:v>0.0812655403961826</c:v>
                </c:pt>
                <c:pt idx="10">
                  <c:v>0.0755860663182393</c:v>
                </c:pt>
                <c:pt idx="11">
                  <c:v>0.0712559317689975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63993600"/>
        <c:axId val="264016256"/>
      </c:barChart>
      <c:lineChart>
        <c:grouping val="stacked"/>
        <c:varyColors val="0"/>
        <c:ser>
          <c:idx val="10"/>
          <c:order val="10"/>
          <c:tx>
            <c:strRef>
              <c:f>"Güllebonus"</c:f>
              <c:strCache>
                <c:ptCount val="1"/>
                <c:pt idx="0">
                  <c:v>Güllebonus</c:v>
                </c:pt>
              </c:strCache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{30,30,30,30,30,30,30,30,30,30,30,30}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63993600"/>
        <c:axId val="264016256"/>
      </c:lineChart>
      <c:lineChart>
        <c:grouping val="stacked"/>
        <c:varyColors val="0"/>
        <c:ser>
          <c:idx val="7"/>
          <c:order val="6"/>
          <c:tx>
            <c:strRef>
              <c:f>[19]Auswertung!$S$2</c:f>
              <c:strCache>
                <c:ptCount val="1"/>
                <c:pt idx="0">
                  <c:v>Fütterungsmenge [t/d]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[19]Auswertung!$S$4:$S$15</c:f>
              <c:numCache>
                <c:formatCode>General</c:formatCode>
                <c:ptCount val="12"/>
                <c:pt idx="0">
                  <c:v>55.8166666666667</c:v>
                </c:pt>
                <c:pt idx="1">
                  <c:v>53.5054838709677</c:v>
                </c:pt>
                <c:pt idx="2">
                  <c:v>59.478</c:v>
                </c:pt>
                <c:pt idx="3">
                  <c:v>48.1645806451613</c:v>
                </c:pt>
                <c:pt idx="4">
                  <c:v>54.9181290322581</c:v>
                </c:pt>
                <c:pt idx="5">
                  <c:v>52.2478571428571</c:v>
                </c:pt>
                <c:pt idx="6">
                  <c:v>58.5508709677419</c:v>
                </c:pt>
                <c:pt idx="7">
                  <c:v>55.2692666666667</c:v>
                </c:pt>
                <c:pt idx="8">
                  <c:v>54.0172258064516</c:v>
                </c:pt>
                <c:pt idx="9">
                  <c:v>50.8620666666667</c:v>
                </c:pt>
                <c:pt idx="10">
                  <c:v>52.9198064516129</c:v>
                </c:pt>
                <c:pt idx="11">
                  <c:v>56.1356774193548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032640"/>
        <c:axId val="264018176"/>
      </c:lineChart>
      <c:catAx>
        <c:axId val="26399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016256"/>
        <c:crosses val="autoZero"/>
        <c:auto val="1"/>
        <c:lblAlgn val="ctr"/>
        <c:lblOffset val="100"/>
        <c:noMultiLvlLbl val="1"/>
      </c:catAx>
      <c:valAx>
        <c:axId val="26401625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Frischmassantrag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993600"/>
        <c:crosses val="autoZero"/>
        <c:crossBetween val="between"/>
      </c:valAx>
      <c:catAx>
        <c:axId val="26403264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018176"/>
        <c:crosses val="autoZero"/>
        <c:auto val="1"/>
        <c:lblAlgn val="ctr"/>
        <c:lblOffset val="100"/>
        <c:noMultiLvlLbl val="0"/>
      </c:catAx>
      <c:valAx>
        <c:axId val="2640181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aseline="0">
                    <a:effectLst/>
                  </a:rPr>
                  <a:t>mittlerer täglicher Frischmasseeintrag [t/d]</a:t>
                </a:r>
                <a:endParaRPr lang="de-DE" sz="1200" baseline="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 lang="zh-CN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032640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862309945212571"/>
          <c:y val="0.243968446378614"/>
          <c:w val="0.137690083928066"/>
          <c:h val="0.455468774905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'[84]BGA 45_Diagramme '!$F$47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'[84]BGA 45_Diagramme 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'[84]BGA 45_Diagramme '!$F$49:$F$60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'[84]BGA 45_Diagramme '!$G$47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'[84]BGA 45_Diagramme 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'[84]BGA 45_Diagramme '!$G$49:$G$60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063616"/>
        <c:axId val="264069504"/>
      </c:barChart>
      <c:catAx>
        <c:axId val="26406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069504"/>
        <c:crosses val="autoZero"/>
        <c:auto val="0"/>
        <c:lblAlgn val="ctr"/>
        <c:lblOffset val="100"/>
        <c:noMultiLvlLbl val="0"/>
      </c:catAx>
      <c:valAx>
        <c:axId val="264069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</a:t>
                </a:r>
                <a:r>
                  <a:rPr lang="de-DE" baseline="0"/>
                  <a:t>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06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993412302081"/>
          <c:y val="0.0500058883096829"/>
          <c:w val="0.847411332224345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'[84]BGA 45_Diagramme '!$D$22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'[84]BGA 45_Diagramme 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'[84]BGA 45_Diagramme '!$D$25:$D$36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'[84]BGA 45_Diagramme '!$E$22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'[84]BGA 45_Diagramme '!$C$25:$C$36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'[84]BGA 45_Diagramme '!$E$25:$E$36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107904"/>
        <c:axId val="264109440"/>
      </c:barChart>
      <c:catAx>
        <c:axId val="26410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109440"/>
        <c:crosses val="autoZero"/>
        <c:auto val="1"/>
        <c:lblAlgn val="ctr"/>
        <c:lblOffset val="100"/>
        <c:noMultiLvlLbl val="1"/>
      </c:catAx>
      <c:valAx>
        <c:axId val="264109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</a:t>
                </a:r>
                <a:r>
                  <a:rPr lang="en-US" baseline="0"/>
                  <a:t> [-]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582746507212036"/>
              <c:y val="0.2758204484093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107904"/>
        <c:crosses val="autoZero"/>
        <c:crossBetween val="between"/>
        <c:majorUnit val="0.1"/>
        <c:minorUnit val="0.0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81833169934641"/>
          <c:y val="0.0509097643097643"/>
          <c:w val="0.387679024077885"/>
          <c:h val="0.107630148593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441366227317"/>
          <c:y val="0.0500058883096829"/>
          <c:w val="0.830963348512712"/>
          <c:h val="0.8148134870267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"Fermenter"</c:f>
              <c:strCache>
                <c:ptCount val="1"/>
                <c:pt idx="0">
                  <c:v>Fermenter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'[86]BGA 46_Diagramme'!$D$25:$D$36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'[86]BGA 46_Diagramme'!$E$25:$E$36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241536"/>
        <c:axId val="264243072"/>
      </c:barChart>
      <c:catAx>
        <c:axId val="2642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4243072"/>
        <c:crosses val="autoZero"/>
        <c:auto val="1"/>
        <c:lblAlgn val="ctr"/>
        <c:lblOffset val="100"/>
        <c:noMultiLvlLbl val="1"/>
      </c:catAx>
      <c:valAx>
        <c:axId val="2642430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FOS/TAC [-]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4241536"/>
        <c:crosses val="autoZero"/>
        <c:crossBetween val="between"/>
        <c:minorUnit val="0.0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960964052287582"/>
          <c:y val="0.0502593799151502"/>
          <c:w val="0.801239705882353"/>
          <c:h val="0.802729795656161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'[84]BGA 45_Diagramme '!$G$2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75000"/>
              </a:srgbClr>
            </a:solidFill>
          </c:spPr>
          <c:invertIfNegative val="0"/>
          <c:dLbls>
            <c:delete val="1"/>
          </c:dLbls>
          <c:cat>
            <c:strRef>
              <c:f>'[84]BGA 45_Diagramme 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'[86]BGA 46_Diagramme'!$B$4:$B$15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'[86]BGA 46_Diagramme'!$C$2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>
                <a:lumMod val="50000"/>
              </a:srgbClr>
            </a:solidFill>
          </c:spPr>
          <c:invertIfNegative val="0"/>
          <c:dLbls>
            <c:delete val="1"/>
          </c:dLbls>
          <c:cat>
            <c:strRef>
              <c:f>'[84]BGA 45_Diagramme '!$A$4:$A$15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'[86]BGA 46_Diagramme'!$C$4:$C$15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287360"/>
        <c:axId val="264289280"/>
      </c:barChart>
      <c:lineChart>
        <c:grouping val="standard"/>
        <c:varyColors val="0"/>
        <c:ser>
          <c:idx val="8"/>
          <c:order val="2"/>
          <c:tx>
            <c:strRef>
              <c:f>'[84]BGA 45_Diagramme '!$J$2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circle"/>
            <c:size val="7"/>
            <c:spPr>
              <a:solidFill>
                <a:sysClr val="windowText" lastClr="000000"/>
              </a:solidFill>
              <a:ln w="6350" cap="flat" cmpd="sng" algn="ctr">
                <a:solidFill>
                  <a:sysClr val="windowText" lastClr="00000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'[86]BGA 46_Diagramme'!$D$4:$D$15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301568"/>
        <c:axId val="264299648"/>
      </c:lineChart>
      <c:catAx>
        <c:axId val="26428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289280"/>
        <c:crosses val="autoZero"/>
        <c:auto val="1"/>
        <c:lblAlgn val="ctr"/>
        <c:lblOffset val="100"/>
        <c:noMultiLvlLbl val="1"/>
      </c:catAx>
      <c:valAx>
        <c:axId val="26428928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287360"/>
        <c:crosses val="autoZero"/>
        <c:crossBetween val="between"/>
      </c:valAx>
      <c:catAx>
        <c:axId val="26430156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299648"/>
        <c:crosses val="autoZero"/>
        <c:auto val="1"/>
        <c:lblAlgn val="ctr"/>
        <c:lblOffset val="100"/>
        <c:noMultiLvlLbl val="0"/>
      </c:catAx>
      <c:valAx>
        <c:axId val="26429964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in"/>
        <c:minorTickMark val="none"/>
        <c:tickLblPos val="nextTo"/>
        <c:spPr>
          <a:ln w="6350" cap="flat" cmpd="sng" algn="ctr">
            <a:solidFill>
              <a:sysClr val="windowText" lastClr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301568"/>
        <c:crosses val="max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0757501036983246"/>
          <c:y val="0.903942568348662"/>
          <c:w val="0.886309523125588"/>
          <c:h val="0.09413196152395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458575544497"/>
          <c:y val="0.0478238539375517"/>
          <c:w val="0.856095719923881"/>
          <c:h val="0.8308404707469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'[82]BGA 44_Diagramme'!$F$47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'[82]BGA 44_Diagramme'!$A$49:$A$60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'[86]BGA 46_Diagramme'!$F$43:$F$54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'[82]BGA 44_Diagramme'!$G$47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'[82]BGA 44_Diagramme'!$A$49:$A$60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'[86]BGA 46_Diagramme'!$G$43:$G$54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888896"/>
        <c:axId val="265890432"/>
      </c:barChart>
      <c:catAx>
        <c:axId val="26588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890432"/>
        <c:crosses val="autoZero"/>
        <c:auto val="0"/>
        <c:lblAlgn val="ctr"/>
        <c:lblOffset val="100"/>
        <c:noMultiLvlLbl val="0"/>
      </c:catAx>
      <c:valAx>
        <c:axId val="265890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88889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'[87]Diagramm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'[87]Diagramm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'[87]Diagramm Kapitel 5'!$D$4:$D$15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2.05786176214039</c:v>
                </c:pt>
                <c:pt idx="3">
                  <c:v>5.15598003870644</c:v>
                </c:pt>
                <c:pt idx="4">
                  <c:v>2.25292453768851</c:v>
                </c:pt>
                <c:pt idx="5">
                  <c:v>0</c:v>
                </c:pt>
                <c:pt idx="6">
                  <c:v>2.76259980626534</c:v>
                </c:pt>
                <c:pt idx="7">
                  <c:v>0</c:v>
                </c:pt>
                <c:pt idx="8">
                  <c:v>4.82341788677702</c:v>
                </c:pt>
                <c:pt idx="9">
                  <c:v>2.60897333768394</c:v>
                </c:pt>
                <c:pt idx="10">
                  <c:v>1.47833911813858</c:v>
                </c:pt>
                <c:pt idx="11">
                  <c:v>0</c:v>
                </c:pt>
              </c:numCache>
            </c:numRef>
          </c:val>
        </c:ser>
        <c:ser>
          <c:idx val="6"/>
          <c:order val="1"/>
          <c:tx>
            <c:strRef>
              <c:f>'[87]Diagramm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'[87]Diagramm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'[87]Diagramm Kapitel 5'!$E$4:$E$15</c:f>
              <c:numCache>
                <c:formatCode>General</c:formatCode>
                <c:ptCount val="12"/>
                <c:pt idx="0">
                  <c:v>35.322153361048</c:v>
                </c:pt>
                <c:pt idx="1">
                  <c:v>43.9159140947211</c:v>
                </c:pt>
                <c:pt idx="2">
                  <c:v>42.352122717599</c:v>
                </c:pt>
                <c:pt idx="3">
                  <c:v>37.3226426027653</c:v>
                </c:pt>
                <c:pt idx="4">
                  <c:v>41.2207013204838</c:v>
                </c:pt>
                <c:pt idx="5">
                  <c:v>42.5405737765535</c:v>
                </c:pt>
                <c:pt idx="6">
                  <c:v>44.1428181809632</c:v>
                </c:pt>
                <c:pt idx="7">
                  <c:v>44.7850963937757</c:v>
                </c:pt>
                <c:pt idx="8">
                  <c:v>41.1598326338305</c:v>
                </c:pt>
                <c:pt idx="9">
                  <c:v>41.4652829135901</c:v>
                </c:pt>
                <c:pt idx="10">
                  <c:v>46.6640956421134</c:v>
                </c:pt>
                <c:pt idx="11">
                  <c:v>40.1657379946151</c:v>
                </c:pt>
              </c:numCache>
            </c:numRef>
          </c:val>
        </c:ser>
        <c:ser>
          <c:idx val="4"/>
          <c:order val="2"/>
          <c:tx>
            <c:strRef>
              <c:f>'[87]Diagramm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'[87]Diagramm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'[87]Diagramm Kapitel 5'!$F$4:$F$15</c:f>
              <c:numCache>
                <c:formatCode>General</c:formatCode>
                <c:ptCount val="12"/>
                <c:pt idx="0">
                  <c:v>64.6778466389519</c:v>
                </c:pt>
                <c:pt idx="1">
                  <c:v>56.0840859052789</c:v>
                </c:pt>
                <c:pt idx="2">
                  <c:v>55.5900155202606</c:v>
                </c:pt>
                <c:pt idx="3">
                  <c:v>57.2353036273484</c:v>
                </c:pt>
                <c:pt idx="4">
                  <c:v>53.6835671542081</c:v>
                </c:pt>
                <c:pt idx="5">
                  <c:v>52.0362073810713</c:v>
                </c:pt>
                <c:pt idx="6">
                  <c:v>45.3357910675156</c:v>
                </c:pt>
                <c:pt idx="7">
                  <c:v>53.4057495598294</c:v>
                </c:pt>
                <c:pt idx="8">
                  <c:v>50.4795763624226</c:v>
                </c:pt>
                <c:pt idx="9">
                  <c:v>51.577454852586</c:v>
                </c:pt>
                <c:pt idx="10">
                  <c:v>47.8724771821571</c:v>
                </c:pt>
                <c:pt idx="11">
                  <c:v>57.1705655938746</c:v>
                </c:pt>
              </c:numCache>
            </c:numRef>
          </c:val>
        </c:ser>
        <c:ser>
          <c:idx val="3"/>
          <c:order val="3"/>
          <c:tx>
            <c:strRef>
              <c:f>'[87]Diagramm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'[87]Diagramm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'[87]Diagramm Kapitel 5'!$I$4:$I$15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0.286073731179841</c:v>
                </c:pt>
                <c:pt idx="4">
                  <c:v>2.84280698761958</c:v>
                </c:pt>
                <c:pt idx="5">
                  <c:v>5.4232188423752</c:v>
                </c:pt>
                <c:pt idx="6">
                  <c:v>7.75879094525585</c:v>
                </c:pt>
                <c:pt idx="7">
                  <c:v>1.8091540463949</c:v>
                </c:pt>
                <c:pt idx="8">
                  <c:v>3.53717311696981</c:v>
                </c:pt>
                <c:pt idx="9">
                  <c:v>4.3482888961399</c:v>
                </c:pt>
                <c:pt idx="10">
                  <c:v>3.98508805759095</c:v>
                </c:pt>
                <c:pt idx="11">
                  <c:v>2.9440855074587</c:v>
                </c:pt>
              </c:numCache>
            </c:numRef>
          </c:val>
        </c:ser>
        <c:ser>
          <c:idx val="2"/>
          <c:order val="4"/>
          <c:tx>
            <c:strRef>
              <c:f>'[87]Diagramm Kapitel 5'!$H$2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'[87]Diagramm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'[87]Diagramm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'[87]Diagramm Kapitel 5'!$J$2</c:f>
              <c:strCache>
                <c:ptCount val="1"/>
                <c:pt idx="0">
                  <c:v>Grünroggensilage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'[87]Diagramm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'[87]Diagramm Kapitel 5'!$J$4:$J$15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6"/>
          <c:tx>
            <c:strRef>
              <c:f>'[87]Diagramm Kapitel 5'!$G$2</c:f>
              <c:strCache>
                <c:ptCount val="1"/>
                <c:pt idx="0">
                  <c:v>Hafer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'[87]Diagramm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'[87]Diagramm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928256"/>
        <c:axId val="264942720"/>
      </c:barChart>
      <c:barChart>
        <c:barDir val="col"/>
        <c:grouping val="stacked"/>
        <c:varyColors val="0"/>
        <c:ser>
          <c:idx val="8"/>
          <c:order val="8"/>
          <c:tx>
            <c:strRef>
              <c:f>'[87]Diagramm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'[87]Diagramm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'[87]Diagramm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'[87]Diagramm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950912"/>
        <c:axId val="264944640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'[87]Diagramm Kapitel 5'!$Z$4:$Z$15</c:f>
              <c:numCache>
                <c:formatCode>General</c:formatCode>
                <c:ptCount val="12"/>
                <c:pt idx="0">
                  <c:v>41.3338333333333</c:v>
                </c:pt>
                <c:pt idx="1">
                  <c:v>49.3611935483871</c:v>
                </c:pt>
                <c:pt idx="2">
                  <c:v>50.2139333333333</c:v>
                </c:pt>
                <c:pt idx="3">
                  <c:v>48.4873870967742</c:v>
                </c:pt>
                <c:pt idx="4">
                  <c:v>45.3890322580645</c:v>
                </c:pt>
                <c:pt idx="5">
                  <c:v>50.7078928571429</c:v>
                </c:pt>
                <c:pt idx="6">
                  <c:v>54.8805161290323</c:v>
                </c:pt>
                <c:pt idx="7">
                  <c:v>48.8257666666667</c:v>
                </c:pt>
                <c:pt idx="8">
                  <c:v>50.1585161290323</c:v>
                </c:pt>
                <c:pt idx="9">
                  <c:v>47.9115666666667</c:v>
                </c:pt>
                <c:pt idx="10">
                  <c:v>50.1870967741935</c:v>
                </c:pt>
                <c:pt idx="11">
                  <c:v>46.019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950912"/>
        <c:axId val="264944640"/>
      </c:lineChart>
      <c:dateAx>
        <c:axId val="26492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942720"/>
        <c:crosses val="autoZero"/>
        <c:auto val="0"/>
        <c:lblAlgn val="ctr"/>
        <c:lblOffset val="100"/>
        <c:baseTimeUnit val="days"/>
      </c:dateAx>
      <c:valAx>
        <c:axId val="26494272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Anteil an Frischmasseeintrag [%]</a:t>
                </a:r>
                <a:endParaRPr lang="de-DE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928256"/>
        <c:crosses val="autoZero"/>
        <c:crossBetween val="between"/>
      </c:valAx>
      <c:catAx>
        <c:axId val="26495091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944640"/>
        <c:crosses val="autoZero"/>
        <c:auto val="1"/>
        <c:lblAlgn val="ctr"/>
        <c:lblOffset val="100"/>
        <c:noMultiLvlLbl val="0"/>
      </c:catAx>
      <c:valAx>
        <c:axId val="264944640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Mittlerer täglicher Frischmasseeintrag [t/d]</a:t>
                </a:r>
                <a:endParaRPr lang="de-DE" sz="1200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 sz="1200"/>
              </a:p>
            </c:rich>
          </c:tx>
          <c:layout>
            <c:manualLayout>
              <c:xMode val="edge"/>
              <c:yMode val="edge"/>
              <c:x val="0.935042755614856"/>
              <c:y val="0.094435321475551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495091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64912812264263"/>
          <c:w val="0.986108482921111"/>
          <c:h val="0.1350871877357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913065938587"/>
          <c:y val="0.0556740803953989"/>
          <c:w val="0.852180499132649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'[87]Diagramm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'[88]BGA 47_Diagramme'!$B$29:$B$40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'[87]Diagramm Kapitel 5'!$E$28:$E$39</c:f>
              <c:numCache>
                <c:formatCode>General</c:formatCode>
                <c:ptCount val="12"/>
                <c:pt idx="0">
                  <c:v>0.309</c:v>
                </c:pt>
                <c:pt idx="1">
                  <c:v>0.243</c:v>
                </c:pt>
                <c:pt idx="2">
                  <c:v>0.25</c:v>
                </c:pt>
                <c:pt idx="3">
                  <c:v>0.434</c:v>
                </c:pt>
                <c:pt idx="4">
                  <c:v>0.26</c:v>
                </c:pt>
                <c:pt idx="5">
                  <c:v>0.281</c:v>
                </c:pt>
                <c:pt idx="6">
                  <c:v>0.266</c:v>
                </c:pt>
                <c:pt idx="7">
                  <c:v>0.307</c:v>
                </c:pt>
                <c:pt idx="8">
                  <c:v>0.279</c:v>
                </c:pt>
                <c:pt idx="9">
                  <c:v>0.298</c:v>
                </c:pt>
                <c:pt idx="10">
                  <c:v>0.266</c:v>
                </c:pt>
                <c:pt idx="11">
                  <c:v>0.269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4994816"/>
        <c:axId val="264996352"/>
      </c:barChart>
      <c:catAx>
        <c:axId val="26499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4996352"/>
        <c:crosses val="autoZero"/>
        <c:auto val="1"/>
        <c:lblAlgn val="ctr"/>
        <c:lblOffset val="100"/>
        <c:noMultiLvlLbl val="0"/>
      </c:catAx>
      <c:valAx>
        <c:axId val="2649963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499481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633006535948"/>
          <c:y val="0.0413201755349934"/>
          <c:w val="0.874067647058824"/>
          <c:h val="0.8617235543638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'[87]Diagramm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'[87]Diagramm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'[87]Diagramm Kapitel 5'!$H$49:$H$60</c:f>
              <c:numCache>
                <c:formatCode>General</c:formatCode>
                <c:ptCount val="12"/>
                <c:pt idx="0">
                  <c:v>106.48049072077</c:v>
                </c:pt>
                <c:pt idx="1">
                  <c:v>99.4169834710751</c:v>
                </c:pt>
                <c:pt idx="2">
                  <c:v>107.362258953168</c:v>
                </c:pt>
                <c:pt idx="3">
                  <c:v>106.917355371901</c:v>
                </c:pt>
                <c:pt idx="4">
                  <c:v>106.308539944904</c:v>
                </c:pt>
                <c:pt idx="5">
                  <c:v>102.386363636363</c:v>
                </c:pt>
                <c:pt idx="6">
                  <c:v>106.472451790634</c:v>
                </c:pt>
                <c:pt idx="7">
                  <c:v>106.331955922864</c:v>
                </c:pt>
                <c:pt idx="8">
                  <c:v>105.91046831956</c:v>
                </c:pt>
                <c:pt idx="9">
                  <c:v>99.2134986225902</c:v>
                </c:pt>
                <c:pt idx="10">
                  <c:v>109.165289256198</c:v>
                </c:pt>
                <c:pt idx="11">
                  <c:v>102.646280991736</c:v>
                </c:pt>
              </c:numCache>
            </c:numRef>
          </c:val>
        </c:ser>
        <c:ser>
          <c:idx val="1"/>
          <c:order val="1"/>
          <c:tx>
            <c:strRef>
              <c:f>'[87]Diagramm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'[87]Diagramm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'[87]Diagramm Kapitel 5'!$I$49:$I$60</c:f>
              <c:numCache>
                <c:formatCode>General</c:formatCode>
                <c:ptCount val="12"/>
                <c:pt idx="0">
                  <c:v>78.9555245622196</c:v>
                </c:pt>
                <c:pt idx="1">
                  <c:v>75.2088301015276</c:v>
                </c:pt>
                <c:pt idx="2">
                  <c:v>79.0330079033008</c:v>
                </c:pt>
                <c:pt idx="3">
                  <c:v>80.588923381473</c:v>
                </c:pt>
                <c:pt idx="4">
                  <c:v>85.3878916033053</c:v>
                </c:pt>
                <c:pt idx="5">
                  <c:v>80.0292222886362</c:v>
                </c:pt>
                <c:pt idx="6">
                  <c:v>69.2101198242379</c:v>
                </c:pt>
                <c:pt idx="7">
                  <c:v>68.5340151867349</c:v>
                </c:pt>
                <c:pt idx="8">
                  <c:v>69.0788980369221</c:v>
                </c:pt>
                <c:pt idx="9">
                  <c:v>55.2882380288238</c:v>
                </c:pt>
                <c:pt idx="10">
                  <c:v>56.10481246532</c:v>
                </c:pt>
                <c:pt idx="11">
                  <c:v>55.0606619576791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026176"/>
        <c:axId val="265945472"/>
      </c:barChart>
      <c:catAx>
        <c:axId val="26502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5945472"/>
        <c:crosses val="autoZero"/>
        <c:auto val="1"/>
        <c:lblAlgn val="ctr"/>
        <c:lblOffset val="100"/>
        <c:noMultiLvlLbl val="0"/>
      </c:catAx>
      <c:valAx>
        <c:axId val="265945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50261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336181342633"/>
          <c:y val="0.0432161879015656"/>
          <c:w val="0.860009880848591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'[89]Diagramm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'[89]Diagramm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'[89]Diagramm Kapitel 5'!$D$4:$D$15</c:f>
              <c:numCache>
                <c:formatCode>General</c:formatCode>
                <c:ptCount val="12"/>
                <c:pt idx="0">
                  <c:v>8.58466757684829</c:v>
                </c:pt>
                <c:pt idx="1">
                  <c:v>8.14568097892984</c:v>
                </c:pt>
                <c:pt idx="2">
                  <c:v>2.88353544513857</c:v>
                </c:pt>
                <c:pt idx="3">
                  <c:v>3.15963445459848</c:v>
                </c:pt>
                <c:pt idx="4">
                  <c:v>4.32609586235149</c:v>
                </c:pt>
                <c:pt idx="5">
                  <c:v>4.37905062182519</c:v>
                </c:pt>
                <c:pt idx="6">
                  <c:v>5.21135945929922</c:v>
                </c:pt>
                <c:pt idx="7">
                  <c:v>6.74534161490683</c:v>
                </c:pt>
                <c:pt idx="8">
                  <c:v>10.012782275245</c:v>
                </c:pt>
                <c:pt idx="9">
                  <c:v>9.21973706675772</c:v>
                </c:pt>
                <c:pt idx="10">
                  <c:v>9.37950937950938</c:v>
                </c:pt>
                <c:pt idx="11">
                  <c:v>7.85315243415802</c:v>
                </c:pt>
              </c:numCache>
            </c:numRef>
          </c:val>
        </c:ser>
        <c:ser>
          <c:idx val="6"/>
          <c:order val="1"/>
          <c:tx>
            <c:strRef>
              <c:f>'[89]Diagramm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'[89]Diagramm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'[89]Diagramm Kapitel 5'!$E$4:$E$15</c:f>
              <c:numCache>
                <c:formatCode>General</c:formatCode>
                <c:ptCount val="12"/>
                <c:pt idx="0">
                  <c:v>33.056141657358</c:v>
                </c:pt>
                <c:pt idx="1">
                  <c:v>38.7191369198465</c:v>
                </c:pt>
                <c:pt idx="2">
                  <c:v>48.9912672129044</c:v>
                </c:pt>
                <c:pt idx="3">
                  <c:v>54.199883336574</c:v>
                </c:pt>
                <c:pt idx="4">
                  <c:v>61.4666120442442</c:v>
                </c:pt>
                <c:pt idx="5">
                  <c:v>64.5121737607287</c:v>
                </c:pt>
                <c:pt idx="6">
                  <c:v>48.2243433924231</c:v>
                </c:pt>
                <c:pt idx="7">
                  <c:v>49.2546583850932</c:v>
                </c:pt>
                <c:pt idx="8">
                  <c:v>38.7871041045306</c:v>
                </c:pt>
                <c:pt idx="9">
                  <c:v>35.1886631381253</c:v>
                </c:pt>
                <c:pt idx="10">
                  <c:v>34.9847683181017</c:v>
                </c:pt>
                <c:pt idx="11">
                  <c:v>42.2505985634477</c:v>
                </c:pt>
              </c:numCache>
            </c:numRef>
          </c:val>
        </c:ser>
        <c:ser>
          <c:idx val="4"/>
          <c:order val="2"/>
          <c:tx>
            <c:strRef>
              <c:f>'[89]Diagramm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'[89]Diagramm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'[89]Diagramm Kapitel 5'!$F$4:$F$15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'[89]Diagramm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'[89]Diagramm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'[89]Diagramm Kapitel 5'!$I$4:$I$15</c:f>
              <c:numCache>
                <c:formatCode>General</c:formatCode>
                <c:ptCount val="12"/>
                <c:pt idx="0">
                  <c:v>58.3591907657937</c:v>
                </c:pt>
                <c:pt idx="1">
                  <c:v>53.1351821012237</c:v>
                </c:pt>
                <c:pt idx="2">
                  <c:v>48.125197341957</c:v>
                </c:pt>
                <c:pt idx="3">
                  <c:v>42.6404822088275</c:v>
                </c:pt>
                <c:pt idx="4">
                  <c:v>34.2072920934043</c:v>
                </c:pt>
                <c:pt idx="5">
                  <c:v>31.1087756174461</c:v>
                </c:pt>
                <c:pt idx="6">
                  <c:v>46.5642971482777</c:v>
                </c:pt>
                <c:pt idx="7">
                  <c:v>44</c:v>
                </c:pt>
                <c:pt idx="8">
                  <c:v>51.2001136202244</c:v>
                </c:pt>
                <c:pt idx="9">
                  <c:v>55.591599795117</c:v>
                </c:pt>
                <c:pt idx="10">
                  <c:v>55.635722302389</c:v>
                </c:pt>
                <c:pt idx="11">
                  <c:v>49.8962490023942</c:v>
                </c:pt>
              </c:numCache>
            </c:numRef>
          </c:val>
        </c:ser>
        <c:ser>
          <c:idx val="2"/>
          <c:order val="4"/>
          <c:tx>
            <c:strRef>
              <c:f>'[89]Diagramm Kapitel 5'!$H$2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'[89]Diagramm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'[89]Diagramm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'[89]Diagramm Kapitel 5'!$J$2</c:f>
              <c:strCache>
                <c:ptCount val="1"/>
                <c:pt idx="0">
                  <c:v>Grünroggensilage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'[89]Diagramm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'[89]Diagramm Kapitel 5'!$J$4:$J$15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6"/>
          <c:tx>
            <c:strRef>
              <c:f>'[89]Diagramm Kapitel 5'!$G$2</c:f>
              <c:strCache>
                <c:ptCount val="1"/>
                <c:pt idx="0">
                  <c:v>Hafer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'[89]Diagramm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'[89]Diagramm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6822784"/>
        <c:axId val="266824704"/>
      </c:barChart>
      <c:barChart>
        <c:barDir val="col"/>
        <c:grouping val="stacked"/>
        <c:varyColors val="0"/>
        <c:ser>
          <c:idx val="8"/>
          <c:order val="8"/>
          <c:tx>
            <c:strRef>
              <c:f>'[89]Diagramm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'[89]Diagramm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'[89]Diagramm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'[89]Diagramm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6832896"/>
        <c:axId val="266830976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'[89]Diagramm Kapitel 5'!$Z$4:$Z$15</c:f>
              <c:numCache>
                <c:formatCode>General</c:formatCode>
                <c:ptCount val="12"/>
                <c:pt idx="0">
                  <c:v>16.114</c:v>
                </c:pt>
                <c:pt idx="1">
                  <c:v>17.8206451612903</c:v>
                </c:pt>
                <c:pt idx="2">
                  <c:v>23.1197666666667</c:v>
                </c:pt>
                <c:pt idx="3">
                  <c:v>26.5445161290323</c:v>
                </c:pt>
                <c:pt idx="4">
                  <c:v>19.6854838709677</c:v>
                </c:pt>
                <c:pt idx="5">
                  <c:v>20.3892857142857</c:v>
                </c:pt>
                <c:pt idx="6">
                  <c:v>27.2048387096774</c:v>
                </c:pt>
                <c:pt idx="7">
                  <c:v>26.8333333333333</c:v>
                </c:pt>
                <c:pt idx="8">
                  <c:v>22.7129032258065</c:v>
                </c:pt>
                <c:pt idx="9">
                  <c:v>19.5233333333333</c:v>
                </c:pt>
                <c:pt idx="10">
                  <c:v>20.1193548387097</c:v>
                </c:pt>
                <c:pt idx="11">
                  <c:v>20.2096774193548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832896"/>
        <c:axId val="266830976"/>
      </c:lineChart>
      <c:dateAx>
        <c:axId val="26682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824704"/>
        <c:crosses val="autoZero"/>
        <c:auto val="0"/>
        <c:lblAlgn val="ctr"/>
        <c:lblOffset val="100"/>
        <c:baseTimeUnit val="days"/>
      </c:dateAx>
      <c:valAx>
        <c:axId val="2668247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822784"/>
        <c:crosses val="autoZero"/>
        <c:crossBetween val="between"/>
      </c:valAx>
      <c:catAx>
        <c:axId val="26683289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830976"/>
        <c:crosses val="autoZero"/>
        <c:auto val="1"/>
        <c:lblAlgn val="ctr"/>
        <c:lblOffset val="100"/>
        <c:noMultiLvlLbl val="0"/>
      </c:catAx>
      <c:valAx>
        <c:axId val="26683097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83289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64912812264263"/>
          <c:w val="0.986108482921111"/>
          <c:h val="0.1350871877357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137602112617"/>
          <c:y val="0.0556740803953989"/>
          <c:w val="0.845955962958619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'[89]Diagramm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'[90]BGA 48_Diagramme'!$B$29:$B$40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'[89]Diagramm Kapitel 5'!$E$28:$E$39</c:f>
              <c:numCache>
                <c:formatCode>General</c:formatCode>
                <c:ptCount val="12"/>
                <c:pt idx="0">
                  <c:v>0</c:v>
                </c:pt>
                <c:pt idx="1">
                  <c:v>0.249</c:v>
                </c:pt>
                <c:pt idx="2">
                  <c:v>0.2335</c:v>
                </c:pt>
                <c:pt idx="3">
                  <c:v>0</c:v>
                </c:pt>
                <c:pt idx="4">
                  <c:v>0.141</c:v>
                </c:pt>
                <c:pt idx="5">
                  <c:v>0.2115</c:v>
                </c:pt>
                <c:pt idx="6">
                  <c:v>0.2265</c:v>
                </c:pt>
                <c:pt idx="7">
                  <c:v>0.231</c:v>
                </c:pt>
                <c:pt idx="8">
                  <c:v>0.2115</c:v>
                </c:pt>
                <c:pt idx="9">
                  <c:v>0.2585</c:v>
                </c:pt>
                <c:pt idx="10">
                  <c:v>0.238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6877184"/>
        <c:axId val="266883072"/>
      </c:barChart>
      <c:catAx>
        <c:axId val="26687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883072"/>
        <c:crosses val="autoZero"/>
        <c:auto val="1"/>
        <c:lblAlgn val="ctr"/>
        <c:lblOffset val="100"/>
        <c:noMultiLvlLbl val="0"/>
      </c:catAx>
      <c:valAx>
        <c:axId val="2668830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0124856680463027"/>
              <c:y val="0.30913222038508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87718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52062626262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'[89]Diagramm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'[89]Diagramm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'[89]Diagramm Kapitel 5'!$H$49:$H$60</c:f>
              <c:numCache>
                <c:formatCode>General</c:formatCode>
                <c:ptCount val="12"/>
                <c:pt idx="0">
                  <c:v>83.7783859649123</c:v>
                </c:pt>
                <c:pt idx="1">
                  <c:v>80.5943157894737</c:v>
                </c:pt>
                <c:pt idx="2">
                  <c:v>87.507052631579</c:v>
                </c:pt>
                <c:pt idx="3">
                  <c:v>100.613157894737</c:v>
                </c:pt>
                <c:pt idx="4">
                  <c:v>98.2719298245614</c:v>
                </c:pt>
                <c:pt idx="5">
                  <c:v>90.831298245614</c:v>
                </c:pt>
                <c:pt idx="6">
                  <c:v>99.8627719298246</c:v>
                </c:pt>
                <c:pt idx="7">
                  <c:v>103.040280701754</c:v>
                </c:pt>
                <c:pt idx="8">
                  <c:v>96.942947368421</c:v>
                </c:pt>
                <c:pt idx="9">
                  <c:v>88.034350877193</c:v>
                </c:pt>
                <c:pt idx="10">
                  <c:v>78.5805614035088</c:v>
                </c:pt>
                <c:pt idx="11">
                  <c:v>76.7922807017544</c:v>
                </c:pt>
              </c:numCache>
            </c:numRef>
          </c:val>
        </c:ser>
        <c:ser>
          <c:idx val="1"/>
          <c:order val="1"/>
          <c:tx>
            <c:strRef>
              <c:f>'[89]Diagramm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'[89]Diagramm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'[89]Diagramm Kapitel 5'!$I$49:$I$60</c:f>
              <c:numCache>
                <c:formatCode>General</c:formatCode>
                <c:ptCount val="12"/>
                <c:pt idx="0">
                  <c:v>72.7828178185585</c:v>
                </c:pt>
                <c:pt idx="1">
                  <c:v>72.2949256513634</c:v>
                </c:pt>
                <c:pt idx="2">
                  <c:v>71.7844171520544</c:v>
                </c:pt>
                <c:pt idx="3">
                  <c:v>94.5704015941137</c:v>
                </c:pt>
                <c:pt idx="4">
                  <c:v>83.7884620886983</c:v>
                </c:pt>
                <c:pt idx="5">
                  <c:v>86.8206710644834</c:v>
                </c:pt>
                <c:pt idx="6">
                  <c:v>83.0385785111738</c:v>
                </c:pt>
                <c:pt idx="7">
                  <c:v>73.189267320662</c:v>
                </c:pt>
                <c:pt idx="8">
                  <c:v>73.1550026824036</c:v>
                </c:pt>
                <c:pt idx="9">
                  <c:v>50.540341431637</c:v>
                </c:pt>
                <c:pt idx="10">
                  <c:v>46.9743849527427</c:v>
                </c:pt>
                <c:pt idx="11">
                  <c:v>46.9743849527427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908800"/>
        <c:axId val="266910336"/>
      </c:barChart>
      <c:catAx>
        <c:axId val="26690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910336"/>
        <c:crosses val="autoZero"/>
        <c:auto val="1"/>
        <c:lblAlgn val="ctr"/>
        <c:lblOffset val="100"/>
        <c:noMultiLvlLbl val="0"/>
      </c:catAx>
      <c:valAx>
        <c:axId val="266910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90880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0930624818366754"/>
          <c:y val="0.0469378814186392"/>
          <c:w val="0.880309212438245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'[91]Diagramm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'[91]Diagramm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'[91]Diagramm Kapitel 5'!$D$4:$D$15</c:f>
              <c:numCache>
                <c:formatCode>General</c:formatCode>
                <c:ptCount val="12"/>
                <c:pt idx="0">
                  <c:v>1.08384497191566</c:v>
                </c:pt>
                <c:pt idx="1">
                  <c:v>5.18303375712407</c:v>
                </c:pt>
                <c:pt idx="2">
                  <c:v>6.09104662221762</c:v>
                </c:pt>
                <c:pt idx="3">
                  <c:v>6.46976900039791</c:v>
                </c:pt>
                <c:pt idx="4">
                  <c:v>5.70143385039783</c:v>
                </c:pt>
                <c:pt idx="5">
                  <c:v>7.31198185304204</c:v>
                </c:pt>
                <c:pt idx="6">
                  <c:v>10.972797439759</c:v>
                </c:pt>
                <c:pt idx="7">
                  <c:v>11.848050964752</c:v>
                </c:pt>
                <c:pt idx="8">
                  <c:v>4.07171922685656</c:v>
                </c:pt>
                <c:pt idx="9">
                  <c:v>2.46316149812501</c:v>
                </c:pt>
                <c:pt idx="10">
                  <c:v>4.03080398844308</c:v>
                </c:pt>
                <c:pt idx="11">
                  <c:v>4.62404627122816</c:v>
                </c:pt>
              </c:numCache>
            </c:numRef>
          </c:val>
        </c:ser>
        <c:ser>
          <c:idx val="6"/>
          <c:order val="1"/>
          <c:tx>
            <c:strRef>
              <c:f>'[91]Diagramm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'[91]Diagramm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'[91]Diagramm Kapitel 5'!$E$4:$E$15</c:f>
              <c:numCache>
                <c:formatCode>General</c:formatCode>
                <c:ptCount val="12"/>
                <c:pt idx="0">
                  <c:v>71.649687394767</c:v>
                </c:pt>
                <c:pt idx="1">
                  <c:v>63.2617273125822</c:v>
                </c:pt>
                <c:pt idx="2">
                  <c:v>65.2420304638568</c:v>
                </c:pt>
                <c:pt idx="3">
                  <c:v>65.2029361871453</c:v>
                </c:pt>
                <c:pt idx="4">
                  <c:v>65.7867649329395</c:v>
                </c:pt>
                <c:pt idx="5">
                  <c:v>67.2625637978991</c:v>
                </c:pt>
                <c:pt idx="6">
                  <c:v>61.1139871987952</c:v>
                </c:pt>
                <c:pt idx="7">
                  <c:v>65.1864640550929</c:v>
                </c:pt>
                <c:pt idx="8">
                  <c:v>65.9003051881994</c:v>
                </c:pt>
                <c:pt idx="9">
                  <c:v>77.638601459536</c:v>
                </c:pt>
                <c:pt idx="10">
                  <c:v>67.4135945951817</c:v>
                </c:pt>
                <c:pt idx="11">
                  <c:v>71.6611102409773</c:v>
                </c:pt>
              </c:numCache>
            </c:numRef>
          </c:val>
        </c:ser>
        <c:ser>
          <c:idx val="4"/>
          <c:order val="2"/>
          <c:tx>
            <c:strRef>
              <c:f>'[91]Diagramm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'[91]Diagramm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'[91]Diagramm Kapitel 5'!$F$4:$F$15</c:f>
              <c:numCache>
                <c:formatCode>General</c:formatCode>
                <c:ptCount val="12"/>
                <c:pt idx="0">
                  <c:v>1.75806030003379</c:v>
                </c:pt>
                <c:pt idx="1">
                  <c:v>5.04110039456379</c:v>
                </c:pt>
                <c:pt idx="2">
                  <c:v>3.97331086241986</c:v>
                </c:pt>
                <c:pt idx="3">
                  <c:v>4.81423694737063</c:v>
                </c:pt>
                <c:pt idx="4">
                  <c:v>4.02594929542671</c:v>
                </c:pt>
                <c:pt idx="5">
                  <c:v>6.20561151467689</c:v>
                </c:pt>
                <c:pt idx="6">
                  <c:v>5.36050451807229</c:v>
                </c:pt>
                <c:pt idx="7">
                  <c:v>6.05109978346732</c:v>
                </c:pt>
                <c:pt idx="8">
                  <c:v>5.53458799593082</c:v>
                </c:pt>
                <c:pt idx="9">
                  <c:v>3.71730437082795</c:v>
                </c:pt>
                <c:pt idx="10">
                  <c:v>3.37936914821976</c:v>
                </c:pt>
                <c:pt idx="11">
                  <c:v>6.67274517262211</c:v>
                </c:pt>
              </c:numCache>
            </c:numRef>
          </c:val>
        </c:ser>
        <c:ser>
          <c:idx val="3"/>
          <c:order val="3"/>
          <c:tx>
            <c:strRef>
              <c:f>'[91]Diagramm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'[91]Diagramm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'[91]Diagramm Kapitel 5'!$I$4:$I$15</c:f>
              <c:numCache>
                <c:formatCode>General</c:formatCode>
                <c:ptCount val="12"/>
                <c:pt idx="0">
                  <c:v>15.3405504657346</c:v>
                </c:pt>
                <c:pt idx="1">
                  <c:v>19.2966352476984</c:v>
                </c:pt>
                <c:pt idx="2">
                  <c:v>14.4976814550902</c:v>
                </c:pt>
                <c:pt idx="3">
                  <c:v>13.0547236591342</c:v>
                </c:pt>
                <c:pt idx="4">
                  <c:v>12.2729050653107</c:v>
                </c:pt>
                <c:pt idx="5">
                  <c:v>10.6864518916583</c:v>
                </c:pt>
                <c:pt idx="6">
                  <c:v>15.4791039156627</c:v>
                </c:pt>
                <c:pt idx="7">
                  <c:v>9.09702496636269</c:v>
                </c:pt>
                <c:pt idx="8">
                  <c:v>14.8774160732452</c:v>
                </c:pt>
                <c:pt idx="9">
                  <c:v>9.47453592045684</c:v>
                </c:pt>
                <c:pt idx="10">
                  <c:v>15.7101970325636</c:v>
                </c:pt>
                <c:pt idx="11">
                  <c:v>7.42370169825252</c:v>
                </c:pt>
              </c:numCache>
            </c:numRef>
          </c:val>
        </c:ser>
        <c:ser>
          <c:idx val="2"/>
          <c:order val="4"/>
          <c:tx>
            <c:strRef>
              <c:f>'[91]Diagramm Kapitel 5'!$H$2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'[91]Diagramm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'[91]Diagramm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'[91]Diagramm Kapitel 5'!$J$2</c:f>
              <c:strCache>
                <c:ptCount val="1"/>
                <c:pt idx="0">
                  <c:v>Grünroggensilage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'[91]Diagramm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'[91]Diagramm Kapitel 5'!$J$4:$J$15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6"/>
          <c:tx>
            <c:strRef>
              <c:f>'[91]Diagramm Kapitel 5'!$G$2</c:f>
              <c:strCache>
                <c:ptCount val="1"/>
                <c:pt idx="0">
                  <c:v>Hafer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'[91]Diagramm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'[91]Diagramm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8"/>
          <c:order val="8"/>
          <c:tx>
            <c:strRef>
              <c:f>'[91]Diagramm Kapitel 5'!$P$2</c:f>
              <c:strCache>
                <c:ptCount val="1"/>
                <c:pt idx="0">
                  <c:v>Hühnertrockenkot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'[91]Diagramm Kapitel 5'!$P$4:$P$15</c:f>
              <c:numCache>
                <c:formatCode>General</c:formatCode>
                <c:ptCount val="12"/>
                <c:pt idx="0">
                  <c:v>10.1678568675489</c:v>
                </c:pt>
                <c:pt idx="1">
                  <c:v>7.21750328803157</c:v>
                </c:pt>
                <c:pt idx="2">
                  <c:v>10.1959305964155</c:v>
                </c:pt>
                <c:pt idx="3">
                  <c:v>10.458334205952</c:v>
                </c:pt>
                <c:pt idx="4">
                  <c:v>12.2129468559253</c:v>
                </c:pt>
                <c:pt idx="5">
                  <c:v>8.53339094272366</c:v>
                </c:pt>
                <c:pt idx="6">
                  <c:v>7.07360692771084</c:v>
                </c:pt>
                <c:pt idx="7">
                  <c:v>7.81736023032518</c:v>
                </c:pt>
                <c:pt idx="8">
                  <c:v>9.61597151576805</c:v>
                </c:pt>
                <c:pt idx="9">
                  <c:v>6.70639675105419</c:v>
                </c:pt>
                <c:pt idx="10">
                  <c:v>9.46603523559186</c:v>
                </c:pt>
                <c:pt idx="11">
                  <c:v>9.61839661691988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908736"/>
        <c:axId val="263915008"/>
      </c:barChart>
      <c:barChart>
        <c:barDir val="col"/>
        <c:grouping val="stacked"/>
        <c:varyColors val="0"/>
        <c:ser>
          <c:idx val="9"/>
          <c:order val="9"/>
          <c:tx>
            <c:strRef>
              <c:f>'[91]Diagramm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'[91]Diagramm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927296"/>
        <c:axId val="263916928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'[91]Diagramm Kapitel 5'!$Z$4:$Z$15</c:f>
              <c:numCache>
                <c:formatCode>General</c:formatCode>
                <c:ptCount val="12"/>
                <c:pt idx="0">
                  <c:v>11.50226</c:v>
                </c:pt>
                <c:pt idx="1">
                  <c:v>11.7729032258064</c:v>
                </c:pt>
                <c:pt idx="2">
                  <c:v>13.5286</c:v>
                </c:pt>
                <c:pt idx="3">
                  <c:v>12.3223225806452</c:v>
                </c:pt>
                <c:pt idx="4">
                  <c:v>12.5356129032258</c:v>
                </c:pt>
                <c:pt idx="5">
                  <c:v>13.2253571428571</c:v>
                </c:pt>
                <c:pt idx="6">
                  <c:v>13.7083870967742</c:v>
                </c:pt>
                <c:pt idx="7">
                  <c:v>13.8239333333333</c:v>
                </c:pt>
                <c:pt idx="8">
                  <c:v>12.6838709677419</c:v>
                </c:pt>
                <c:pt idx="9">
                  <c:v>10.7111666666667</c:v>
                </c:pt>
                <c:pt idx="10">
                  <c:v>11.8794838709677</c:v>
                </c:pt>
                <c:pt idx="11">
                  <c:v>11.5336774193548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927296"/>
        <c:axId val="263916928"/>
      </c:lineChart>
      <c:dateAx>
        <c:axId val="26390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3915008"/>
        <c:crosses val="autoZero"/>
        <c:auto val="0"/>
        <c:lblAlgn val="ctr"/>
        <c:lblOffset val="100"/>
        <c:baseTimeUnit val="days"/>
      </c:dateAx>
      <c:valAx>
        <c:axId val="26391500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3908736"/>
        <c:crosses val="autoZero"/>
        <c:crossBetween val="between"/>
      </c:valAx>
      <c:catAx>
        <c:axId val="26392729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3916928"/>
        <c:crosses val="autoZero"/>
        <c:auto val="1"/>
        <c:lblAlgn val="ctr"/>
        <c:lblOffset val="100"/>
        <c:noMultiLvlLbl val="0"/>
      </c:catAx>
      <c:valAx>
        <c:axId val="26391692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392729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64912812264263"/>
          <c:w val="0.986108482921111"/>
          <c:h val="0.1350871877357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'[91]Diagramm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'[92]BGA 49_Diagramme'!$B$26:$B$37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'[91]Diagramm Kapitel 5'!$E$28:$E$39</c:f>
              <c:numCache>
                <c:formatCode>General</c:formatCode>
                <c:ptCount val="12"/>
                <c:pt idx="0">
                  <c:v>0.3105</c:v>
                </c:pt>
                <c:pt idx="1">
                  <c:v>0.2355</c:v>
                </c:pt>
                <c:pt idx="2">
                  <c:v>0.2675</c:v>
                </c:pt>
                <c:pt idx="3">
                  <c:v>0.169</c:v>
                </c:pt>
                <c:pt idx="4">
                  <c:v>0.218</c:v>
                </c:pt>
                <c:pt idx="5">
                  <c:v>0.1985</c:v>
                </c:pt>
                <c:pt idx="6">
                  <c:v>0.241</c:v>
                </c:pt>
                <c:pt idx="7">
                  <c:v>0.264</c:v>
                </c:pt>
                <c:pt idx="8">
                  <c:v>0.1855</c:v>
                </c:pt>
                <c:pt idx="9">
                  <c:v>0.2125</c:v>
                </c:pt>
                <c:pt idx="10">
                  <c:v>0.2125</c:v>
                </c:pt>
                <c:pt idx="11">
                  <c:v>0.2325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6940416"/>
        <c:axId val="266941952"/>
      </c:barChart>
      <c:catAx>
        <c:axId val="26694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941952"/>
        <c:crosses val="autoZero"/>
        <c:auto val="1"/>
        <c:lblAlgn val="ctr"/>
        <c:lblOffset val="100"/>
        <c:noMultiLvlLbl val="0"/>
      </c:catAx>
      <c:valAx>
        <c:axId val="266941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94041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2492734670154"/>
          <c:y val="0.0413201755349934"/>
          <c:w val="0.887207933740192"/>
          <c:h val="0.8542801673296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'[91]Diagramm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'[91]Diagramm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'[91]Diagramm Kapitel 5'!$H$49:$H$60</c:f>
              <c:numCache>
                <c:formatCode>General</c:formatCode>
                <c:ptCount val="12"/>
                <c:pt idx="0">
                  <c:v>110.226276803119</c:v>
                </c:pt>
                <c:pt idx="1">
                  <c:v>107.326003898636</c:v>
                </c:pt>
                <c:pt idx="2">
                  <c:v>106.934970760234</c:v>
                </c:pt>
                <c:pt idx="3">
                  <c:v>107.233216374269</c:v>
                </c:pt>
                <c:pt idx="4">
                  <c:v>107.10298245614</c:v>
                </c:pt>
                <c:pt idx="5">
                  <c:v>109.93730994152</c:v>
                </c:pt>
                <c:pt idx="6">
                  <c:v>107.111929824561</c:v>
                </c:pt>
                <c:pt idx="7">
                  <c:v>106.87432748538</c:v>
                </c:pt>
                <c:pt idx="8">
                  <c:v>105.095789473684</c:v>
                </c:pt>
                <c:pt idx="9">
                  <c:v>107.151695906433</c:v>
                </c:pt>
                <c:pt idx="10">
                  <c:v>107.139766081871</c:v>
                </c:pt>
                <c:pt idx="11">
                  <c:v>106.867368421053</c:v>
                </c:pt>
              </c:numCache>
            </c:numRef>
          </c:val>
        </c:ser>
        <c:ser>
          <c:idx val="1"/>
          <c:order val="1"/>
          <c:tx>
            <c:strRef>
              <c:f>'[91]Diagramm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'[91]Diagramm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'[91]Diagramm Kapitel 5'!$I$49:$I$60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493120"/>
        <c:axId val="265494912"/>
      </c:barChart>
      <c:catAx>
        <c:axId val="26549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494912"/>
        <c:crosses val="autoZero"/>
        <c:auto val="1"/>
        <c:lblAlgn val="ctr"/>
        <c:lblOffset val="100"/>
        <c:noMultiLvlLbl val="0"/>
      </c:catAx>
      <c:valAx>
        <c:axId val="265494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49312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8"/>
          <c:order val="0"/>
          <c:tx>
            <c:strRef>
              <c:f>'[93]Diagramm Kapitel 5'!$P$2</c:f>
              <c:strCache>
                <c:ptCount val="1"/>
                <c:pt idx="0">
                  <c:v>Pferdemist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'[93]Diagramm Kapitel 5'!$P$4:$P$15</c:f>
              <c:numCache>
                <c:formatCode>General</c:formatCode>
                <c:ptCount val="12"/>
                <c:pt idx="0">
                  <c:v>18.0798974284353</c:v>
                </c:pt>
                <c:pt idx="1">
                  <c:v>16.2271606290661</c:v>
                </c:pt>
                <c:pt idx="2">
                  <c:v>10.396777816091</c:v>
                </c:pt>
                <c:pt idx="3">
                  <c:v>23.1296632987125</c:v>
                </c:pt>
                <c:pt idx="4">
                  <c:v>29.8100783037638</c:v>
                </c:pt>
                <c:pt idx="5">
                  <c:v>26.8091503319415</c:v>
                </c:pt>
                <c:pt idx="6">
                  <c:v>30.8636118413234</c:v>
                </c:pt>
                <c:pt idx="7">
                  <c:v>28.888989859316</c:v>
                </c:pt>
                <c:pt idx="8">
                  <c:v>26.9447224136312</c:v>
                </c:pt>
                <c:pt idx="9">
                  <c:v>27.7015858735812</c:v>
                </c:pt>
                <c:pt idx="10">
                  <c:v>28.1893744557578</c:v>
                </c:pt>
                <c:pt idx="11">
                  <c:v>28.3370522639664</c:v>
                </c:pt>
              </c:numCache>
            </c:numRef>
          </c:val>
        </c:ser>
        <c:ser>
          <c:idx val="0"/>
          <c:order val="1"/>
          <c:tx>
            <c:strRef>
              <c:f>'[93]Diagramm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'[93]Diagramm Kapitel 5'!$D$4:$D$15</c:f>
              <c:numCache>
                <c:formatCode>General</c:formatCode>
                <c:ptCount val="12"/>
                <c:pt idx="0">
                  <c:v>2.58993042196575</c:v>
                </c:pt>
                <c:pt idx="1">
                  <c:v>1.22623380068509</c:v>
                </c:pt>
                <c:pt idx="2">
                  <c:v>3.17805435426363</c:v>
                </c:pt>
                <c:pt idx="3">
                  <c:v>1.85936339238766</c:v>
                </c:pt>
                <c:pt idx="4">
                  <c:v>1.23739947676001</c:v>
                </c:pt>
                <c:pt idx="5">
                  <c:v>1.47573304579495</c:v>
                </c:pt>
                <c:pt idx="6">
                  <c:v>1.53325950117621</c:v>
                </c:pt>
                <c:pt idx="7">
                  <c:v>1.39904986169234</c:v>
                </c:pt>
                <c:pt idx="8">
                  <c:v>1.43628584294409</c:v>
                </c:pt>
                <c:pt idx="9">
                  <c:v>1.53134209648429</c:v>
                </c:pt>
                <c:pt idx="10">
                  <c:v>1.50490150089332</c:v>
                </c:pt>
                <c:pt idx="11">
                  <c:v>1.42976663441236</c:v>
                </c:pt>
              </c:numCache>
            </c:numRef>
          </c:val>
        </c:ser>
        <c:ser>
          <c:idx val="6"/>
          <c:order val="2"/>
          <c:tx>
            <c:strRef>
              <c:f>'[93]Diagramm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'[93]Diagramm Kapitel 5'!$E$4:$E$15</c:f>
              <c:numCache>
                <c:formatCode>General</c:formatCode>
                <c:ptCount val="12"/>
                <c:pt idx="0">
                  <c:v>68.891065621216</c:v>
                </c:pt>
                <c:pt idx="1">
                  <c:v>70.7543238536605</c:v>
                </c:pt>
                <c:pt idx="2">
                  <c:v>77.8444210731336</c:v>
                </c:pt>
                <c:pt idx="3">
                  <c:v>68.9425015777006</c:v>
                </c:pt>
                <c:pt idx="4">
                  <c:v>62.3530583434228</c:v>
                </c:pt>
                <c:pt idx="5">
                  <c:v>62.1417714790297</c:v>
                </c:pt>
                <c:pt idx="6">
                  <c:v>58.2412265267892</c:v>
                </c:pt>
                <c:pt idx="7">
                  <c:v>60.7432167947653</c:v>
                </c:pt>
                <c:pt idx="8">
                  <c:v>62.2735585253352</c:v>
                </c:pt>
                <c:pt idx="9">
                  <c:v>64.38647996125</c:v>
                </c:pt>
                <c:pt idx="10">
                  <c:v>60.4137495435744</c:v>
                </c:pt>
                <c:pt idx="11">
                  <c:v>60.8428428188355</c:v>
                </c:pt>
              </c:numCache>
            </c:numRef>
          </c:val>
        </c:ser>
        <c:ser>
          <c:idx val="4"/>
          <c:order val="3"/>
          <c:tx>
            <c:strRef>
              <c:f>'[93]Diagramm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'[93]Diagramm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'[93]Diagramm Kapitel 5'!$F$4:$F$15</c:f>
              <c:numCache>
                <c:formatCode>General</c:formatCode>
                <c:ptCount val="12"/>
                <c:pt idx="0">
                  <c:v>1.48846575975043</c:v>
                </c:pt>
                <c:pt idx="1">
                  <c:v>1.73716455097055</c:v>
                </c:pt>
                <c:pt idx="2">
                  <c:v>0.794513588565907</c:v>
                </c:pt>
                <c:pt idx="3">
                  <c:v>0.306488471272692</c:v>
                </c:pt>
                <c:pt idx="4">
                  <c:v>0.356221061491517</c:v>
                </c:pt>
                <c:pt idx="5">
                  <c:v>0.681107559597667</c:v>
                </c:pt>
                <c:pt idx="6">
                  <c:v>0.468997023889193</c:v>
                </c:pt>
                <c:pt idx="7">
                  <c:v>0.481792005351004</c:v>
                </c:pt>
                <c:pt idx="8">
                  <c:v>0.651116248801322</c:v>
                </c:pt>
                <c:pt idx="9">
                  <c:v>0.510447365494763</c:v>
                </c:pt>
                <c:pt idx="10">
                  <c:v>0.495516347855118</c:v>
                </c:pt>
                <c:pt idx="11">
                  <c:v>0.479663645093181</c:v>
                </c:pt>
              </c:numCache>
            </c:numRef>
          </c:val>
        </c:ser>
        <c:ser>
          <c:idx val="3"/>
          <c:order val="4"/>
          <c:tx>
            <c:strRef>
              <c:f>'[93]Diagramm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'[93]Diagramm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'[93]Diagramm Kapitel 5'!$I$4:$I$15</c:f>
              <c:numCache>
                <c:formatCode>General</c:formatCode>
                <c:ptCount val="12"/>
                <c:pt idx="0">
                  <c:v>8.95064076863261</c:v>
                </c:pt>
                <c:pt idx="1">
                  <c:v>10.0551171656178</c:v>
                </c:pt>
                <c:pt idx="2">
                  <c:v>7.78623316794589</c:v>
                </c:pt>
                <c:pt idx="3">
                  <c:v>5.04684349362366</c:v>
                </c:pt>
                <c:pt idx="4">
                  <c:v>5.26832201469033</c:v>
                </c:pt>
                <c:pt idx="5">
                  <c:v>8.51384449497084</c:v>
                </c:pt>
                <c:pt idx="6">
                  <c:v>8.17137122391556</c:v>
                </c:pt>
                <c:pt idx="7">
                  <c:v>8.02368993526865</c:v>
                </c:pt>
                <c:pt idx="8">
                  <c:v>8.1198026321106</c:v>
                </c:pt>
                <c:pt idx="9">
                  <c:v>5.28116697377274</c:v>
                </c:pt>
                <c:pt idx="10">
                  <c:v>9.02940900535993</c:v>
                </c:pt>
                <c:pt idx="11">
                  <c:v>8.44945959433372</c:v>
                </c:pt>
              </c:numCache>
            </c:numRef>
          </c:val>
        </c:ser>
        <c:ser>
          <c:idx val="2"/>
          <c:order val="5"/>
          <c:tx>
            <c:strRef>
              <c:f>'[93]Diagramm Kapitel 5'!$H$2</c:f>
              <c:strCache>
                <c:ptCount val="1"/>
                <c:pt idx="0">
                  <c:v>Sonstiges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'[93]Diagramm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0.715139766302947</c:v>
                </c:pt>
                <c:pt idx="4">
                  <c:v>0.974920799871521</c:v>
                </c:pt>
                <c:pt idx="5">
                  <c:v>0.378393088665371</c:v>
                </c:pt>
                <c:pt idx="6">
                  <c:v>0.721533882906451</c:v>
                </c:pt>
                <c:pt idx="7">
                  <c:v>0.463261543606735</c:v>
                </c:pt>
                <c:pt idx="8">
                  <c:v>0.574514337177637</c:v>
                </c:pt>
                <c:pt idx="9">
                  <c:v>0.588977729417035</c:v>
                </c:pt>
                <c:pt idx="10">
                  <c:v>0.367049146559347</c:v>
                </c:pt>
                <c:pt idx="11">
                  <c:v>0.461215043358827</c:v>
                </c:pt>
              </c:numCache>
            </c:numRef>
          </c:val>
        </c:ser>
        <c:ser>
          <c:idx val="5"/>
          <c:order val="6"/>
          <c:tx>
            <c:strRef>
              <c:f>'[93]Diagramm Kapitel 5'!$J$2</c:f>
              <c:strCache>
                <c:ptCount val="1"/>
                <c:pt idx="0">
                  <c:v>Grünroggensilage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'[93]Diagramm Kapitel 5'!$J$4:$J$15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7"/>
          <c:tx>
            <c:strRef>
              <c:f>'[93]Diagramm Kapitel 5'!$G$2</c:f>
              <c:strCache>
                <c:ptCount val="1"/>
                <c:pt idx="0">
                  <c:v>Hafer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'[93]Diagramm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'[93]Diagramm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'[93]Diagramm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6649984"/>
        <c:axId val="266651904"/>
      </c:barChart>
      <c:lineChart>
        <c:grouping val="stacked"/>
        <c:varyColors val="0"/>
        <c:ser>
          <c:idx val="7"/>
          <c:order val="8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'[93]Diagramm Kapitel 5'!$Z$4:$Z$15</c:f>
              <c:numCache>
                <c:formatCode>General</c:formatCode>
                <c:ptCount val="12"/>
                <c:pt idx="0">
                  <c:v>16.795818</c:v>
                </c:pt>
                <c:pt idx="1">
                  <c:v>15.783970967742</c:v>
                </c:pt>
                <c:pt idx="2">
                  <c:v>14.6840366666666</c:v>
                </c:pt>
                <c:pt idx="3">
                  <c:v>15.7875748387097</c:v>
                </c:pt>
                <c:pt idx="4">
                  <c:v>17.2056987096774</c:v>
                </c:pt>
                <c:pt idx="5">
                  <c:v>18.8768171428572</c:v>
                </c:pt>
                <c:pt idx="6">
                  <c:v>17.8830490322581</c:v>
                </c:pt>
                <c:pt idx="7">
                  <c:v>17.9883986666667</c:v>
                </c:pt>
                <c:pt idx="8">
                  <c:v>16.8445219354839</c:v>
                </c:pt>
                <c:pt idx="9">
                  <c:v>16.9785706666667</c:v>
                </c:pt>
                <c:pt idx="10">
                  <c:v>17.5769729032258</c:v>
                </c:pt>
                <c:pt idx="11">
                  <c:v>17.4853709677419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672384"/>
        <c:axId val="266670464"/>
      </c:lineChart>
      <c:dateAx>
        <c:axId val="26664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651904"/>
        <c:crosses val="autoZero"/>
        <c:auto val="0"/>
        <c:lblAlgn val="ctr"/>
        <c:lblOffset val="100"/>
        <c:baseTimeUnit val="days"/>
      </c:dateAx>
      <c:valAx>
        <c:axId val="2666519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649984"/>
        <c:crosses val="autoZero"/>
        <c:crossBetween val="between"/>
      </c:valAx>
      <c:catAx>
        <c:axId val="26667238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670464"/>
        <c:crosses val="autoZero"/>
        <c:auto val="1"/>
        <c:lblAlgn val="ctr"/>
        <c:lblOffset val="100"/>
        <c:noMultiLvlLbl val="0"/>
      </c:catAx>
      <c:valAx>
        <c:axId val="26667046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672384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64912812264263"/>
          <c:w val="0.986108482921111"/>
          <c:h val="0.1350871877357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'[93]Diagramm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'[94]BGA 50_Diagramme'!$B$29:$B$40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'[93]Diagramm Kapitel 5'!$E$28:$E$39</c:f>
              <c:numCache>
                <c:formatCode>General</c:formatCode>
                <c:ptCount val="12"/>
                <c:pt idx="0">
                  <c:v>0.224</c:v>
                </c:pt>
                <c:pt idx="1">
                  <c:v>0.1995</c:v>
                </c:pt>
                <c:pt idx="2">
                  <c:v>0.19</c:v>
                </c:pt>
                <c:pt idx="3">
                  <c:v>0.2165</c:v>
                </c:pt>
                <c:pt idx="4">
                  <c:v>0.1945</c:v>
                </c:pt>
                <c:pt idx="5">
                  <c:v>0.2195</c:v>
                </c:pt>
                <c:pt idx="6">
                  <c:v>0.1195</c:v>
                </c:pt>
                <c:pt idx="7">
                  <c:v>0.2155</c:v>
                </c:pt>
                <c:pt idx="8">
                  <c:v>0.1675</c:v>
                </c:pt>
                <c:pt idx="9">
                  <c:v>0.183</c:v>
                </c:pt>
                <c:pt idx="10">
                  <c:v>0.1985</c:v>
                </c:pt>
                <c:pt idx="11">
                  <c:v>0.2035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6703232"/>
        <c:axId val="266704768"/>
      </c:barChart>
      <c:catAx>
        <c:axId val="26670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704768"/>
        <c:crosses val="autoZero"/>
        <c:auto val="1"/>
        <c:lblAlgn val="ctr"/>
        <c:lblOffset val="100"/>
        <c:noMultiLvlLbl val="0"/>
      </c:catAx>
      <c:valAx>
        <c:axId val="266704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703232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617235543638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'[93]Diagramm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'[93]Diagramm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'[93]Diagramm Kapitel 5'!$H$49:$H$60</c:f>
              <c:numCache>
                <c:formatCode>General</c:formatCode>
                <c:ptCount val="12"/>
                <c:pt idx="0">
                  <c:v>96.0350877192982</c:v>
                </c:pt>
                <c:pt idx="1">
                  <c:v>111.476513865308</c:v>
                </c:pt>
                <c:pt idx="2">
                  <c:v>85.8490058479532</c:v>
                </c:pt>
                <c:pt idx="3">
                  <c:v>104.097340124505</c:v>
                </c:pt>
                <c:pt idx="4">
                  <c:v>105.80792303339</c:v>
                </c:pt>
                <c:pt idx="5">
                  <c:v>105.919799498747</c:v>
                </c:pt>
                <c:pt idx="6">
                  <c:v>104.528353140917</c:v>
                </c:pt>
                <c:pt idx="7">
                  <c:v>105.286666666667</c:v>
                </c:pt>
                <c:pt idx="8">
                  <c:v>104.41675155631</c:v>
                </c:pt>
                <c:pt idx="9">
                  <c:v>98.8584795321637</c:v>
                </c:pt>
                <c:pt idx="10">
                  <c:v>101.095642331636</c:v>
                </c:pt>
                <c:pt idx="11">
                  <c:v>106.059988681381</c:v>
                </c:pt>
              </c:numCache>
            </c:numRef>
          </c:val>
        </c:ser>
        <c:ser>
          <c:idx val="1"/>
          <c:order val="1"/>
          <c:tx>
            <c:strRef>
              <c:f>'[93]Diagramm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'[93]Diagramm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'[93]Diagramm Kapitel 5'!$I$49:$I$60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726400"/>
        <c:axId val="266728192"/>
      </c:barChart>
      <c:catAx>
        <c:axId val="2667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728192"/>
        <c:crosses val="autoZero"/>
        <c:auto val="1"/>
        <c:lblAlgn val="ctr"/>
        <c:lblOffset val="100"/>
        <c:noMultiLvlLbl val="0"/>
      </c:catAx>
      <c:valAx>
        <c:axId val="266728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72640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'[95]Diagramm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'[95]Diagramm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'[95]Diagramm Kapitel 5'!$D$4:$D$15</c:f>
              <c:numCache>
                <c:formatCode>General</c:formatCode>
                <c:ptCount val="12"/>
                <c:pt idx="0">
                  <c:v>33.4098994853373</c:v>
                </c:pt>
                <c:pt idx="1">
                  <c:v>34.1228794285618</c:v>
                </c:pt>
                <c:pt idx="2">
                  <c:v>35.1924182643694</c:v>
                </c:pt>
                <c:pt idx="3">
                  <c:v>32.951380769149</c:v>
                </c:pt>
                <c:pt idx="4">
                  <c:v>34.1383057025691</c:v>
                </c:pt>
                <c:pt idx="5">
                  <c:v>33.6606970922396</c:v>
                </c:pt>
                <c:pt idx="6">
                  <c:v>34.2102056094291</c:v>
                </c:pt>
                <c:pt idx="7">
                  <c:v>35.3815375821663</c:v>
                </c:pt>
                <c:pt idx="8">
                  <c:v>35.6619684852324</c:v>
                </c:pt>
                <c:pt idx="9">
                  <c:v>34.4184321340519</c:v>
                </c:pt>
                <c:pt idx="10">
                  <c:v>33.4099474054748</c:v>
                </c:pt>
                <c:pt idx="11">
                  <c:v>44.5450959589777</c:v>
                </c:pt>
              </c:numCache>
            </c:numRef>
          </c:val>
        </c:ser>
        <c:ser>
          <c:idx val="6"/>
          <c:order val="1"/>
          <c:tx>
            <c:strRef>
              <c:f>'[95]Diagramm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'[95]Diagramm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'[95]Diagramm Kapitel 5'!$E$4:$E$15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2"/>
          <c:tx>
            <c:strRef>
              <c:f>'[95]Diagramm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'[95]Diagramm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'[95]Diagramm Kapitel 5'!$F$4:$F$15</c:f>
              <c:numCache>
                <c:formatCode>General</c:formatCode>
                <c:ptCount val="12"/>
                <c:pt idx="0">
                  <c:v>50.2659666332769</c:v>
                </c:pt>
                <c:pt idx="1">
                  <c:v>48.9226570528479</c:v>
                </c:pt>
                <c:pt idx="2">
                  <c:v>49.7254000039653</c:v>
                </c:pt>
                <c:pt idx="3">
                  <c:v>57.1228129849699</c:v>
                </c:pt>
                <c:pt idx="4">
                  <c:v>50.8306754056991</c:v>
                </c:pt>
                <c:pt idx="5">
                  <c:v>50.7798960138648</c:v>
                </c:pt>
                <c:pt idx="6">
                  <c:v>49.7919532025279</c:v>
                </c:pt>
                <c:pt idx="7">
                  <c:v>49.9857102029151</c:v>
                </c:pt>
                <c:pt idx="8">
                  <c:v>50.4592604323383</c:v>
                </c:pt>
                <c:pt idx="9">
                  <c:v>49.2985403530207</c:v>
                </c:pt>
                <c:pt idx="10">
                  <c:v>46.3204538866112</c:v>
                </c:pt>
                <c:pt idx="11">
                  <c:v>28.4816583017097</c:v>
                </c:pt>
              </c:numCache>
            </c:numRef>
          </c:val>
        </c:ser>
        <c:ser>
          <c:idx val="3"/>
          <c:order val="3"/>
          <c:tx>
            <c:strRef>
              <c:f>'[95]Diagramm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'[95]Diagramm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'[95]Diagramm Kapitel 5'!$I$4:$I$15</c:f>
              <c:numCache>
                <c:formatCode>General</c:formatCode>
                <c:ptCount val="12"/>
                <c:pt idx="0">
                  <c:v>16.2861386480605</c:v>
                </c:pt>
                <c:pt idx="1">
                  <c:v>16.922454893108</c:v>
                </c:pt>
                <c:pt idx="2">
                  <c:v>15.0484763169895</c:v>
                </c:pt>
                <c:pt idx="3">
                  <c:v>9.8854142307447</c:v>
                </c:pt>
                <c:pt idx="4">
                  <c:v>14.9924643370369</c:v>
                </c:pt>
                <c:pt idx="5">
                  <c:v>15.5208935104949</c:v>
                </c:pt>
                <c:pt idx="6">
                  <c:v>15.9560577308101</c:v>
                </c:pt>
                <c:pt idx="7">
                  <c:v>14.5946460893589</c:v>
                </c:pt>
                <c:pt idx="8">
                  <c:v>13.8372000950194</c:v>
                </c:pt>
                <c:pt idx="9">
                  <c:v>16.2328453297842</c:v>
                </c:pt>
                <c:pt idx="10">
                  <c:v>20.219903093552</c:v>
                </c:pt>
                <c:pt idx="11">
                  <c:v>26.9174793596387</c:v>
                </c:pt>
              </c:numCache>
            </c:numRef>
          </c:val>
        </c:ser>
        <c:ser>
          <c:idx val="2"/>
          <c:order val="4"/>
          <c:tx>
            <c:strRef>
              <c:f>'[95]Diagramm Kapitel 5'!$H$2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'[95]Diagramm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'[95]Diagramm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'[95]Diagramm Kapitel 5'!$J$2</c:f>
              <c:strCache>
                <c:ptCount val="1"/>
                <c:pt idx="0">
                  <c:v>Grünroggensilage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'[95]Diagramm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'[95]Diagramm Kapitel 5'!$J$4:$J$15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6"/>
          <c:tx>
            <c:strRef>
              <c:f>'[95]Diagramm Kapitel 5'!$G$2</c:f>
              <c:strCache>
                <c:ptCount val="1"/>
                <c:pt idx="0">
                  <c:v>Hafer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'[95]Diagramm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'[95]Diagramm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326592"/>
        <c:axId val="267328512"/>
      </c:barChart>
      <c:barChart>
        <c:barDir val="col"/>
        <c:grouping val="stacked"/>
        <c:varyColors val="0"/>
        <c:ser>
          <c:idx val="8"/>
          <c:order val="8"/>
          <c:tx>
            <c:strRef>
              <c:f>'[95]Diagramm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'[95]Diagramm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'[95]Diagramm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'[95]Diagramm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348992"/>
        <c:axId val="267347072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'[95]Diagramm Kapitel 5'!$Z$4:$Z$15</c:f>
              <c:numCache>
                <c:formatCode>General</c:formatCode>
                <c:ptCount val="12"/>
                <c:pt idx="0">
                  <c:v>38.6013333333333</c:v>
                </c:pt>
                <c:pt idx="1">
                  <c:v>38.2961290322581</c:v>
                </c:pt>
                <c:pt idx="2">
                  <c:v>33.6246666666667</c:v>
                </c:pt>
                <c:pt idx="3">
                  <c:v>30.3477419354839</c:v>
                </c:pt>
                <c:pt idx="4">
                  <c:v>36.8141935483871</c:v>
                </c:pt>
                <c:pt idx="5">
                  <c:v>37.0928571428571</c:v>
                </c:pt>
                <c:pt idx="6">
                  <c:v>37.0574193548387</c:v>
                </c:pt>
                <c:pt idx="7">
                  <c:v>34.99</c:v>
                </c:pt>
                <c:pt idx="8">
                  <c:v>32.5909677419355</c:v>
                </c:pt>
                <c:pt idx="9">
                  <c:v>30.5553333333333</c:v>
                </c:pt>
                <c:pt idx="10">
                  <c:v>31.1574193548387</c:v>
                </c:pt>
                <c:pt idx="11">
                  <c:v>23.7164516129032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348992"/>
        <c:axId val="267347072"/>
      </c:lineChart>
      <c:dateAx>
        <c:axId val="26732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328512"/>
        <c:crosses val="autoZero"/>
        <c:auto val="0"/>
        <c:lblAlgn val="ctr"/>
        <c:lblOffset val="100"/>
        <c:baseTimeUnit val="days"/>
      </c:dateAx>
      <c:valAx>
        <c:axId val="2673285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326592"/>
        <c:crosses val="autoZero"/>
        <c:crossBetween val="between"/>
      </c:valAx>
      <c:catAx>
        <c:axId val="26734899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347072"/>
        <c:crosses val="autoZero"/>
        <c:auto val="1"/>
        <c:lblAlgn val="ctr"/>
        <c:lblOffset val="100"/>
        <c:noMultiLvlLbl val="0"/>
      </c:catAx>
      <c:valAx>
        <c:axId val="26734707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2972222222222"/>
              <c:y val="0.08501803426510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34899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64912812264263"/>
          <c:w val="0.986108482921111"/>
          <c:h val="0.1350871877357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'[95]Diagramm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'[96]BGA 51_Diagramme'!$B$4:$B$15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'[95]Diagramm Kapitel 5'!$E$28:$E$39</c:f>
              <c:numCache>
                <c:formatCode>General</c:formatCode>
                <c:ptCount val="12"/>
                <c:pt idx="0">
                  <c:v>0.3665</c:v>
                </c:pt>
                <c:pt idx="1">
                  <c:v>0.3365</c:v>
                </c:pt>
                <c:pt idx="2">
                  <c:v>0.354</c:v>
                </c:pt>
                <c:pt idx="3">
                  <c:v>0.3395</c:v>
                </c:pt>
                <c:pt idx="4">
                  <c:v>0.3515</c:v>
                </c:pt>
                <c:pt idx="5">
                  <c:v>0.355</c:v>
                </c:pt>
                <c:pt idx="6">
                  <c:v>0.353</c:v>
                </c:pt>
                <c:pt idx="7">
                  <c:v>0.3325</c:v>
                </c:pt>
                <c:pt idx="8">
                  <c:v>0.351</c:v>
                </c:pt>
                <c:pt idx="9">
                  <c:v>0.2995</c:v>
                </c:pt>
                <c:pt idx="10">
                  <c:v>0.3695</c:v>
                </c:pt>
                <c:pt idx="11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7380992"/>
        <c:axId val="267853824"/>
      </c:barChart>
      <c:catAx>
        <c:axId val="26738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853824"/>
        <c:crosses val="autoZero"/>
        <c:auto val="1"/>
        <c:lblAlgn val="ctr"/>
        <c:lblOffset val="100"/>
        <c:noMultiLvlLbl val="0"/>
      </c:catAx>
      <c:valAx>
        <c:axId val="267853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380992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557843137255"/>
          <c:y val="0.0413201755349934"/>
          <c:w val="0.876142810457516"/>
          <c:h val="0.8654452478809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'[95]Diagramm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'[95]Diagramm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'[95]Diagramm Kapitel 5'!$H$49:$H$60</c:f>
              <c:numCache>
                <c:formatCode>General</c:formatCode>
                <c:ptCount val="12"/>
                <c:pt idx="0">
                  <c:v>98.1787749287749</c:v>
                </c:pt>
                <c:pt idx="1">
                  <c:v>100.060298787897</c:v>
                </c:pt>
                <c:pt idx="2">
                  <c:v>98.1640023214095</c:v>
                </c:pt>
                <c:pt idx="3">
                  <c:v>86.1568330116714</c:v>
                </c:pt>
                <c:pt idx="4">
                  <c:v>101.709482431149</c:v>
                </c:pt>
                <c:pt idx="5">
                  <c:v>106.501435223478</c:v>
                </c:pt>
                <c:pt idx="6">
                  <c:v>103.5637885611</c:v>
                </c:pt>
                <c:pt idx="7">
                  <c:v>101.990703979414</c:v>
                </c:pt>
                <c:pt idx="8">
                  <c:v>95.9685231136847</c:v>
                </c:pt>
                <c:pt idx="9">
                  <c:v>91.5203902827556</c:v>
                </c:pt>
                <c:pt idx="10">
                  <c:v>89.0431179732257</c:v>
                </c:pt>
                <c:pt idx="11">
                  <c:v>85.1914667769508</c:v>
                </c:pt>
              </c:numCache>
            </c:numRef>
          </c:val>
        </c:ser>
        <c:ser>
          <c:idx val="1"/>
          <c:order val="1"/>
          <c:tx>
            <c:strRef>
              <c:f>'[95]Diagramm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'[95]Diagramm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'[95]Diagramm Kapitel 5'!$I$49:$I$60</c:f>
              <c:numCache>
                <c:formatCode>General</c:formatCode>
                <c:ptCount val="12"/>
                <c:pt idx="0">
                  <c:v>94.5787661187271</c:v>
                </c:pt>
                <c:pt idx="1">
                  <c:v>103.816028759436</c:v>
                </c:pt>
                <c:pt idx="2">
                  <c:v>127.568107633288</c:v>
                </c:pt>
                <c:pt idx="3">
                  <c:v>135.788957399856</c:v>
                </c:pt>
                <c:pt idx="4">
                  <c:v>129.298800893783</c:v>
                </c:pt>
                <c:pt idx="5">
                  <c:v>192.379129696381</c:v>
                </c:pt>
                <c:pt idx="6">
                  <c:v>156.397087754379</c:v>
                </c:pt>
                <c:pt idx="7">
                  <c:v>120.242641243494</c:v>
                </c:pt>
                <c:pt idx="8">
                  <c:v>103.296385365806</c:v>
                </c:pt>
                <c:pt idx="9">
                  <c:v>100.607886198164</c:v>
                </c:pt>
                <c:pt idx="10">
                  <c:v>101.137996434874</c:v>
                </c:pt>
                <c:pt idx="11">
                  <c:v>95.1200483423177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7871360"/>
        <c:axId val="267872896"/>
      </c:barChart>
      <c:catAx>
        <c:axId val="26787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872896"/>
        <c:crosses val="autoZero"/>
        <c:auto val="1"/>
        <c:lblAlgn val="ctr"/>
        <c:lblOffset val="100"/>
        <c:noMultiLvlLbl val="0"/>
      </c:catAx>
      <c:valAx>
        <c:axId val="2678728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87136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0444056960186"/>
          <c:y val="0.0506595749357129"/>
          <c:w val="0.872927637314734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36111111111"/>
          <c:y val="0.0611669672377517"/>
          <c:w val="0.76092385620915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'[97]Diagramm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'[97]Diagramm Kapitel 5'!$D$4:$D$15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1"/>
          <c:tx>
            <c:strRef>
              <c:f>'[97]Diagramm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'[97]Diagramm Kapitel 5'!$E$4:$E$15</c:f>
              <c:numCache>
                <c:formatCode>General</c:formatCode>
                <c:ptCount val="12"/>
                <c:pt idx="0">
                  <c:v>41.662521254266</c:v>
                </c:pt>
                <c:pt idx="1">
                  <c:v>53.4688474992909</c:v>
                </c:pt>
                <c:pt idx="2">
                  <c:v>28.7484141632965</c:v>
                </c:pt>
                <c:pt idx="3">
                  <c:v>0</c:v>
                </c:pt>
                <c:pt idx="4">
                  <c:v>29.5601590787677</c:v>
                </c:pt>
                <c:pt idx="5">
                  <c:v>14.376541071465</c:v>
                </c:pt>
                <c:pt idx="6">
                  <c:v>45.6122389437333</c:v>
                </c:pt>
                <c:pt idx="7">
                  <c:v>49.1331477629719</c:v>
                </c:pt>
                <c:pt idx="8">
                  <c:v>48.162455462636</c:v>
                </c:pt>
                <c:pt idx="9">
                  <c:v>42.6488200507599</c:v>
                </c:pt>
                <c:pt idx="10">
                  <c:v>37.6759647884708</c:v>
                </c:pt>
                <c:pt idx="11">
                  <c:v>36.599881907727</c:v>
                </c:pt>
              </c:numCache>
            </c:numRef>
          </c:val>
        </c:ser>
        <c:ser>
          <c:idx val="4"/>
          <c:order val="2"/>
          <c:tx>
            <c:strRef>
              <c:f>'[97]Diagramm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'[97]Diagramm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'[97]Diagramm Kapitel 5'!$F$4:$F$15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'[97]Diagramm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'[97]Diagramm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'[97]Diagramm Kapitel 5'!$I$4:$I$15</c:f>
              <c:numCache>
                <c:formatCode>General</c:formatCode>
                <c:ptCount val="12"/>
                <c:pt idx="0">
                  <c:v>58.337478745734</c:v>
                </c:pt>
                <c:pt idx="1">
                  <c:v>46.5311525007091</c:v>
                </c:pt>
                <c:pt idx="2">
                  <c:v>35.817696334599</c:v>
                </c:pt>
                <c:pt idx="3">
                  <c:v>0</c:v>
                </c:pt>
                <c:pt idx="4">
                  <c:v>0</c:v>
                </c:pt>
                <c:pt idx="5">
                  <c:v>56.5861064128951</c:v>
                </c:pt>
                <c:pt idx="6">
                  <c:v>50.3562088556227</c:v>
                </c:pt>
                <c:pt idx="7">
                  <c:v>50.8668522370281</c:v>
                </c:pt>
                <c:pt idx="8">
                  <c:v>51.837544537364</c:v>
                </c:pt>
                <c:pt idx="9">
                  <c:v>57.3511799492401</c:v>
                </c:pt>
                <c:pt idx="10">
                  <c:v>19.6331513328133</c:v>
                </c:pt>
                <c:pt idx="11">
                  <c:v>0</c:v>
                </c:pt>
              </c:numCache>
            </c:numRef>
          </c:val>
        </c:ser>
        <c:ser>
          <c:idx val="2"/>
          <c:order val="4"/>
          <c:tx>
            <c:strRef>
              <c:f>'[97]Diagramm Kapitel 5'!$H$2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'[97]Diagramm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'[97]Diagramm Kapitel 5'!$J$2</c:f>
              <c:strCache>
                <c:ptCount val="1"/>
                <c:pt idx="0">
                  <c:v>Roggen-Ganzpflanzensilage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'[97]Diagramm Kapitel 5'!$J$4:$J$15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35.4338895021045</c:v>
                </c:pt>
                <c:pt idx="3">
                  <c:v>100</c:v>
                </c:pt>
                <c:pt idx="4">
                  <c:v>70.4398409212323</c:v>
                </c:pt>
                <c:pt idx="5">
                  <c:v>29.03735251564</c:v>
                </c:pt>
                <c:pt idx="6">
                  <c:v>4.03155220064399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42.6908838787158</c:v>
                </c:pt>
                <c:pt idx="11">
                  <c:v>63.400118092273</c:v>
                </c:pt>
              </c:numCache>
            </c:numRef>
          </c:val>
        </c:ser>
        <c:ser>
          <c:idx val="1"/>
          <c:order val="6"/>
          <c:tx>
            <c:strRef>
              <c:f>'[97]Diagramm Kapitel 5'!$G$2</c:f>
              <c:strCache>
                <c:ptCount val="1"/>
                <c:pt idx="0">
                  <c:v>Hafer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'[97]Diagramm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'[97]Diagramm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115904"/>
        <c:axId val="267134464"/>
      </c:barChart>
      <c:barChart>
        <c:barDir val="col"/>
        <c:grouping val="stacked"/>
        <c:varyColors val="0"/>
        <c:ser>
          <c:idx val="8"/>
          <c:order val="8"/>
          <c:tx>
            <c:strRef>
              <c:f>'[97]Diagramm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'[97]Diagramm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'[97]Diagramm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'[97]Diagramm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142656"/>
        <c:axId val="267136384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'[97]Diagramm Kapitel 5'!$Z$4:$Z$15</c:f>
              <c:numCache>
                <c:formatCode>General</c:formatCode>
                <c:ptCount val="12"/>
                <c:pt idx="0">
                  <c:v>64.1047777777778</c:v>
                </c:pt>
                <c:pt idx="1">
                  <c:v>34.1193548387097</c:v>
                </c:pt>
                <c:pt idx="2">
                  <c:v>72.7796666666667</c:v>
                </c:pt>
                <c:pt idx="3">
                  <c:v>46.2687096774194</c:v>
                </c:pt>
                <c:pt idx="4">
                  <c:v>54.3451612903226</c:v>
                </c:pt>
                <c:pt idx="5">
                  <c:v>35.0521428571429</c:v>
                </c:pt>
                <c:pt idx="6">
                  <c:v>60.8106451612903</c:v>
                </c:pt>
                <c:pt idx="7">
                  <c:v>54.0076666666667</c:v>
                </c:pt>
                <c:pt idx="8">
                  <c:v>61.2932258064516</c:v>
                </c:pt>
                <c:pt idx="9">
                  <c:v>53.717</c:v>
                </c:pt>
                <c:pt idx="10">
                  <c:v>52.1090322580645</c:v>
                </c:pt>
                <c:pt idx="11">
                  <c:v>48.0761290322581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142656"/>
        <c:axId val="267136384"/>
      </c:lineChart>
      <c:dateAx>
        <c:axId val="26711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134464"/>
        <c:crosses val="autoZero"/>
        <c:auto val="0"/>
        <c:lblAlgn val="ctr"/>
        <c:lblOffset val="100"/>
        <c:baseTimeUnit val="days"/>
      </c:dateAx>
      <c:valAx>
        <c:axId val="267134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115904"/>
        <c:crosses val="autoZero"/>
        <c:crossBetween val="between"/>
      </c:valAx>
      <c:catAx>
        <c:axId val="26714265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136384"/>
        <c:crosses val="autoZero"/>
        <c:auto val="1"/>
        <c:lblAlgn val="ctr"/>
        <c:lblOffset val="100"/>
        <c:noMultiLvlLbl val="0"/>
      </c:catAx>
      <c:valAx>
        <c:axId val="26713638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14265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64912812264263"/>
          <c:w val="0.986108482921111"/>
          <c:h val="0.1350871877357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212447503961"/>
          <c:y val="0.0556740803953989"/>
          <c:w val="0.843881117567275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'[97]Diagramm Kapitel 5'!$D$25</c:f>
              <c:strCache>
                <c:ptCount val="1"/>
                <c:pt idx="0">
                  <c:v>FOS/TAC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'[98]BGA 52_Diagramme'!$B$28:$B$39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'[97]Diagramm Kapitel 5'!$E$28:$E$39</c:f>
              <c:numCache>
                <c:formatCode>General</c:formatCode>
                <c:ptCount val="12"/>
                <c:pt idx="0">
                  <c:v>0.2455</c:v>
                </c:pt>
                <c:pt idx="1">
                  <c:v>0.2915</c:v>
                </c:pt>
                <c:pt idx="2">
                  <c:v>0.258</c:v>
                </c:pt>
                <c:pt idx="3">
                  <c:v>0.229</c:v>
                </c:pt>
                <c:pt idx="4">
                  <c:v>0.206</c:v>
                </c:pt>
                <c:pt idx="5">
                  <c:v>0.2205</c:v>
                </c:pt>
                <c:pt idx="6">
                  <c:v>0.3395</c:v>
                </c:pt>
                <c:pt idx="7">
                  <c:v>0.3955</c:v>
                </c:pt>
                <c:pt idx="8">
                  <c:v>0.2655</c:v>
                </c:pt>
                <c:pt idx="9">
                  <c:v>0.2625</c:v>
                </c:pt>
                <c:pt idx="10">
                  <c:v>0.211</c:v>
                </c:pt>
                <c:pt idx="11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7186944"/>
        <c:axId val="267188480"/>
      </c:barChart>
      <c:catAx>
        <c:axId val="26718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188480"/>
        <c:crosses val="autoZero"/>
        <c:auto val="1"/>
        <c:lblAlgn val="ctr"/>
        <c:lblOffset val="100"/>
        <c:noMultiLvlLbl val="0"/>
      </c:catAx>
      <c:valAx>
        <c:axId val="2671884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18694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94075163398693"/>
          <c:y val="0.0413201755349934"/>
          <c:w val="0.880293137254902"/>
          <c:h val="0.8199124579124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'[97]Diagramm Kapitel 5'!$H$47</c:f>
              <c:strCache>
                <c:ptCount val="1"/>
                <c:pt idx="0">
                  <c:v>Elektrische Auslastung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'[97]Diagramm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'[97]Diagramm Kapitel 5'!$H$49:$H$60</c:f>
              <c:numCache>
                <c:formatCode>General</c:formatCode>
                <c:ptCount val="12"/>
                <c:pt idx="0">
                  <c:v>106.02766395664</c:v>
                </c:pt>
                <c:pt idx="1">
                  <c:v>85.1272005420054</c:v>
                </c:pt>
                <c:pt idx="2">
                  <c:v>128.98618699187</c:v>
                </c:pt>
                <c:pt idx="3">
                  <c:v>134.3522899729</c:v>
                </c:pt>
                <c:pt idx="4">
                  <c:v>114.540563685637</c:v>
                </c:pt>
                <c:pt idx="5">
                  <c:v>117.058913279133</c:v>
                </c:pt>
                <c:pt idx="6">
                  <c:v>93.8208116531165</c:v>
                </c:pt>
                <c:pt idx="7">
                  <c:v>97.9306422764228</c:v>
                </c:pt>
                <c:pt idx="8">
                  <c:v>115.282920054201</c:v>
                </c:pt>
                <c:pt idx="9">
                  <c:v>110.404357723577</c:v>
                </c:pt>
                <c:pt idx="10">
                  <c:v>102.792734417344</c:v>
                </c:pt>
                <c:pt idx="11">
                  <c:v>102.928227642276</c:v>
                </c:pt>
              </c:numCache>
            </c:numRef>
          </c:val>
        </c:ser>
        <c:ser>
          <c:idx val="1"/>
          <c:order val="1"/>
          <c:tx>
            <c:strRef>
              <c:f>'[97]Diagramm Kapitel 5'!$I$47</c:f>
              <c:strCache>
                <c:ptCount val="1"/>
                <c:pt idx="0">
                  <c:v>Thermische Auslastung durch Fremdnutzer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'[97]Diagramm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'[97]Diagramm Kapitel 5'!$I$49:$I$60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7214208"/>
        <c:axId val="267228288"/>
      </c:barChart>
      <c:catAx>
        <c:axId val="26721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228288"/>
        <c:crosses val="autoZero"/>
        <c:auto val="1"/>
        <c:lblAlgn val="ctr"/>
        <c:lblOffset val="100"/>
        <c:noMultiLvlLbl val="0"/>
      </c:catAx>
      <c:valAx>
        <c:axId val="2672282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21420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86315891"/>
          <c:y val="0.0516657626822776"/>
          <c:w val="0.756773529411765"/>
          <c:h val="0.7350570133602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'[99]Diagramm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'[99]Diagramm Kapitel 5'!$D$4:$D$15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1"/>
          <c:tx>
            <c:strRef>
              <c:f>'[99]Diagramm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'[99]Diagramm Kapitel 5'!$E$4:$E$15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2"/>
          <c:tx>
            <c:strRef>
              <c:f>'[99]Diagramm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'[99]Diagramm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'[99]Diagramm Kapitel 5'!$F$4:$F$15</c:f>
              <c:numCache>
                <c:formatCode>General</c:formatCode>
                <c:ptCount val="12"/>
                <c:pt idx="0">
                  <c:v>45.5703163841494</c:v>
                </c:pt>
                <c:pt idx="1">
                  <c:v>52.9846221683294</c:v>
                </c:pt>
                <c:pt idx="2">
                  <c:v>37.1354213407521</c:v>
                </c:pt>
                <c:pt idx="3">
                  <c:v>54.3376705640159</c:v>
                </c:pt>
                <c:pt idx="4">
                  <c:v>56.3188128291048</c:v>
                </c:pt>
                <c:pt idx="5">
                  <c:v>49.6921025425887</c:v>
                </c:pt>
                <c:pt idx="6">
                  <c:v>54.0245365722262</c:v>
                </c:pt>
                <c:pt idx="7">
                  <c:v>47.2498906758661</c:v>
                </c:pt>
                <c:pt idx="8">
                  <c:v>24.3481442528486</c:v>
                </c:pt>
                <c:pt idx="9">
                  <c:v>49.8745080143745</c:v>
                </c:pt>
                <c:pt idx="10">
                  <c:v>44.2603302070536</c:v>
                </c:pt>
                <c:pt idx="11">
                  <c:v>37.7657906291162</c:v>
                </c:pt>
              </c:numCache>
            </c:numRef>
          </c:val>
        </c:ser>
        <c:ser>
          <c:idx val="3"/>
          <c:order val="3"/>
          <c:tx>
            <c:strRef>
              <c:f>'[99]Diagramm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'[99]Diagramm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'[99]Diagramm Kapitel 5'!$I$4:$I$15</c:f>
              <c:numCache>
                <c:formatCode>General</c:formatCode>
                <c:ptCount val="12"/>
                <c:pt idx="0">
                  <c:v>8.05472770854107</c:v>
                </c:pt>
                <c:pt idx="1">
                  <c:v>11.7676238769773</c:v>
                </c:pt>
                <c:pt idx="2">
                  <c:v>43.749439109755</c:v>
                </c:pt>
                <c:pt idx="3">
                  <c:v>28.9793871572224</c:v>
                </c:pt>
                <c:pt idx="4">
                  <c:v>24.7327269826073</c:v>
                </c:pt>
                <c:pt idx="5">
                  <c:v>30.0256206643393</c:v>
                </c:pt>
                <c:pt idx="6">
                  <c:v>24.3406714499106</c:v>
                </c:pt>
                <c:pt idx="7">
                  <c:v>26.35926339828</c:v>
                </c:pt>
                <c:pt idx="8">
                  <c:v>66.9678565773789</c:v>
                </c:pt>
                <c:pt idx="9">
                  <c:v>9.08676059551652</c:v>
                </c:pt>
                <c:pt idx="10">
                  <c:v>13.5378899110059</c:v>
                </c:pt>
                <c:pt idx="11">
                  <c:v>6.49187731292731</c:v>
                </c:pt>
              </c:numCache>
            </c:numRef>
          </c:val>
        </c:ser>
        <c:ser>
          <c:idx val="2"/>
          <c:order val="4"/>
          <c:tx>
            <c:strRef>
              <c:f>'[99]Diagramm Kapitel 5'!$H$2</c:f>
              <c:strCache>
                <c:ptCount val="1"/>
                <c:pt idx="0">
                  <c:v>Zuckerrübe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'[99]Diagramm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4.25603517903617</c:v>
                </c:pt>
                <c:pt idx="3">
                  <c:v>9.44865264324738</c:v>
                </c:pt>
                <c:pt idx="4">
                  <c:v>10.6430509015478</c:v>
                </c:pt>
                <c:pt idx="5">
                  <c:v>10.2992074075184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'[99]Diagramm Kapitel 5'!$J$2</c:f>
              <c:strCache>
                <c:ptCount val="1"/>
                <c:pt idx="0">
                  <c:v>Roggen-Ganzpflanzensilage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'[99]Diagramm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'[99]Diagramm Kapitel 5'!$J$4:$J$15</c:f>
              <c:numCache>
                <c:formatCode>General</c:formatCode>
                <c:ptCount val="12"/>
                <c:pt idx="0">
                  <c:v>41.6623846993503</c:v>
                </c:pt>
                <c:pt idx="1">
                  <c:v>31.2517224273825</c:v>
                </c:pt>
                <c:pt idx="2">
                  <c:v>6.66337611056269</c:v>
                </c:pt>
                <c:pt idx="3">
                  <c:v>0</c:v>
                </c:pt>
                <c:pt idx="4">
                  <c:v>0</c:v>
                </c:pt>
                <c:pt idx="5">
                  <c:v>2.6969120357191</c:v>
                </c:pt>
                <c:pt idx="6">
                  <c:v>19.7370032078752</c:v>
                </c:pt>
                <c:pt idx="7">
                  <c:v>25.8004956027404</c:v>
                </c:pt>
                <c:pt idx="8">
                  <c:v>6.02981435555231</c:v>
                </c:pt>
                <c:pt idx="9">
                  <c:v>35.3659232217215</c:v>
                </c:pt>
                <c:pt idx="10">
                  <c:v>32.4813471968358</c:v>
                </c:pt>
                <c:pt idx="11">
                  <c:v>45.662673273537</c:v>
                </c:pt>
              </c:numCache>
            </c:numRef>
          </c:val>
        </c:ser>
        <c:ser>
          <c:idx val="1"/>
          <c:order val="6"/>
          <c:tx>
            <c:strRef>
              <c:f>'[99]Diagramm Kapitel 5'!$G$2</c:f>
              <c:strCache>
                <c:ptCount val="1"/>
                <c:pt idx="0">
                  <c:v>Getreide insg.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'[99]Diagramm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'[99]Diagramm Kapitel 5'!$G$4:$G$15</c:f>
              <c:numCache>
                <c:formatCode>General</c:formatCode>
                <c:ptCount val="12"/>
                <c:pt idx="0">
                  <c:v>4.71257120795918</c:v>
                </c:pt>
                <c:pt idx="1">
                  <c:v>3.99603152731081</c:v>
                </c:pt>
                <c:pt idx="2">
                  <c:v>8.19572825989411</c:v>
                </c:pt>
                <c:pt idx="3">
                  <c:v>7.23428963551427</c:v>
                </c:pt>
                <c:pt idx="4">
                  <c:v>8.30540928674007</c:v>
                </c:pt>
                <c:pt idx="5">
                  <c:v>7.28615734983444</c:v>
                </c:pt>
                <c:pt idx="6">
                  <c:v>1.897788769988</c:v>
                </c:pt>
                <c:pt idx="7">
                  <c:v>0.590350323113551</c:v>
                </c:pt>
                <c:pt idx="8">
                  <c:v>2.65828672874777</c:v>
                </c:pt>
                <c:pt idx="9">
                  <c:v>5.67280816838743</c:v>
                </c:pt>
                <c:pt idx="10">
                  <c:v>9.72043268510472</c:v>
                </c:pt>
                <c:pt idx="11">
                  <c:v>10.0796587844195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5332224"/>
        <c:axId val="265334144"/>
      </c:barChart>
      <c:barChart>
        <c:barDir val="col"/>
        <c:grouping val="stacked"/>
        <c:varyColors val="0"/>
        <c:ser>
          <c:idx val="8"/>
          <c:order val="8"/>
          <c:tx>
            <c:strRef>
              <c:f>'[99]Diagramm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'[99]Diagramm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'[99]Diagramm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'[99]Diagramm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5342336"/>
        <c:axId val="265340416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'[99]Diagramm Kapitel 5'!$Z$4:$Z$15</c:f>
              <c:numCache>
                <c:formatCode>General</c:formatCode>
                <c:ptCount val="12"/>
                <c:pt idx="0">
                  <c:v>120.012333333333</c:v>
                </c:pt>
                <c:pt idx="1">
                  <c:v>117.051612903226</c:v>
                </c:pt>
                <c:pt idx="2">
                  <c:v>148.573333333333</c:v>
                </c:pt>
                <c:pt idx="3">
                  <c:v>122.222580645161</c:v>
                </c:pt>
                <c:pt idx="4">
                  <c:v>121.296774193548</c:v>
                </c:pt>
                <c:pt idx="5">
                  <c:v>119.183928571429</c:v>
                </c:pt>
                <c:pt idx="6">
                  <c:v>131.732258064516</c:v>
                </c:pt>
                <c:pt idx="7">
                  <c:v>137.206666666667</c:v>
                </c:pt>
                <c:pt idx="8">
                  <c:v>131.069139784946</c:v>
                </c:pt>
                <c:pt idx="9">
                  <c:v>116.873333333333</c:v>
                </c:pt>
                <c:pt idx="10">
                  <c:v>107.654838709677</c:v>
                </c:pt>
                <c:pt idx="11">
                  <c:v>102.858064516129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42336"/>
        <c:axId val="265340416"/>
      </c:lineChart>
      <c:dateAx>
        <c:axId val="26533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5334144"/>
        <c:crosses val="autoZero"/>
        <c:auto val="0"/>
        <c:lblAlgn val="ctr"/>
        <c:lblOffset val="100"/>
        <c:baseTimeUnit val="days"/>
      </c:dateAx>
      <c:valAx>
        <c:axId val="26533414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0102381966205638"/>
              <c:y val="0.12474460882413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5332224"/>
        <c:crosses val="autoZero"/>
        <c:crossBetween val="between"/>
      </c:valAx>
      <c:catAx>
        <c:axId val="26534233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5340416"/>
        <c:crosses val="autoZero"/>
        <c:auto val="1"/>
        <c:lblAlgn val="ctr"/>
        <c:lblOffset val="100"/>
        <c:noMultiLvlLbl val="0"/>
      </c:catAx>
      <c:valAx>
        <c:axId val="26534041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5042755614856"/>
              <c:y val="0.078600008728125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534233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64912812264263"/>
          <c:w val="0.986108482921111"/>
          <c:h val="0.1350871877357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"Fermenter 1"</c:f>
              <c:strCache>
                <c:ptCount val="1"/>
                <c:pt idx="0">
                  <c:v>Fermenter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'[100]BGA 53_Diagramme'!$B$31:$B$42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'[99]Diagramm Kapitel 5'!$E$28:$E$39</c:f>
              <c:numCache>
                <c:formatCode>General</c:formatCode>
                <c:ptCount val="12"/>
                <c:pt idx="0">
                  <c:v>0.26</c:v>
                </c:pt>
                <c:pt idx="1">
                  <c:v>0.2935</c:v>
                </c:pt>
                <c:pt idx="2">
                  <c:v>0.2675</c:v>
                </c:pt>
                <c:pt idx="3">
                  <c:v>0.261</c:v>
                </c:pt>
                <c:pt idx="4">
                  <c:v>0.28</c:v>
                </c:pt>
                <c:pt idx="5">
                  <c:v>0.311</c:v>
                </c:pt>
                <c:pt idx="6">
                  <c:v>0.2845</c:v>
                </c:pt>
                <c:pt idx="7">
                  <c:v>0.289</c:v>
                </c:pt>
                <c:pt idx="8">
                  <c:v>0.238</c:v>
                </c:pt>
                <c:pt idx="9">
                  <c:v>0.2605</c:v>
                </c:pt>
                <c:pt idx="10">
                  <c:v>0.291</c:v>
                </c:pt>
                <c:pt idx="11">
                  <c:v>0.302</c:v>
                </c:pt>
              </c:numCache>
            </c:numRef>
          </c:val>
        </c:ser>
        <c:ser>
          <c:idx val="0"/>
          <c:order val="1"/>
          <c:tx>
            <c:strRef>
              <c:f>"Fermenter 2"</c:f>
              <c:strCache>
                <c:ptCount val="1"/>
                <c:pt idx="0">
                  <c:v>Fermenter 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'[100]BGA 53_Diagramme'!$B$31:$B$42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'[99]Diagramm Kapitel 5'!$F$28:$F$39</c:f>
              <c:numCache>
                <c:formatCode>General</c:formatCode>
                <c:ptCount val="12"/>
                <c:pt idx="0">
                  <c:v>0.2415</c:v>
                </c:pt>
                <c:pt idx="1">
                  <c:v>0.251</c:v>
                </c:pt>
                <c:pt idx="2">
                  <c:v>0.237</c:v>
                </c:pt>
                <c:pt idx="3">
                  <c:v>0.2145</c:v>
                </c:pt>
                <c:pt idx="4">
                  <c:v>0.242</c:v>
                </c:pt>
                <c:pt idx="5">
                  <c:v>0.256</c:v>
                </c:pt>
                <c:pt idx="6">
                  <c:v>0.2165</c:v>
                </c:pt>
                <c:pt idx="7">
                  <c:v>0.2245</c:v>
                </c:pt>
                <c:pt idx="8">
                  <c:v>0.2405</c:v>
                </c:pt>
                <c:pt idx="9">
                  <c:v>0.275</c:v>
                </c:pt>
                <c:pt idx="10">
                  <c:v>0.272</c:v>
                </c:pt>
                <c:pt idx="11">
                  <c:v>0.231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5370624"/>
        <c:axId val="265372416"/>
      </c:barChart>
      <c:catAx>
        <c:axId val="2653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372416"/>
        <c:crosses val="autoZero"/>
        <c:auto val="1"/>
        <c:lblAlgn val="ctr"/>
        <c:lblOffset val="100"/>
        <c:noMultiLvlLbl val="0"/>
      </c:catAx>
      <c:valAx>
        <c:axId val="2653724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37062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461976416032968"/>
          <c:y val="0.0774875420875421"/>
          <c:w val="0.505540163942193"/>
          <c:h val="0.076204597578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6970522627664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'[101]BGA 54_Diagramme'!$I$9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'[101]BGA 54_Diagramme'!$J$3:$U$3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('[101]BGA 54_Diagramme'!$J$9:$T$9,'[101]BGA 54_Diagramme'!$U$9)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1"/>
          <c:tx>
            <c:strRef>
              <c:f>'[101]BGA 54_Diagramme'!$I$10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'[101]BGA 54_Diagramme'!$J$3:$U$3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('[101]BGA 54_Diagramme'!$J$10:$T$10,'[101]BGA 54_Diagramme'!$U$10)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'[101]BGA 54_Diagramme'!$I$4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'[101]BGA 54_Diagramme'!$J$3:$U$3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('[101]BGA 54_Diagramme'!$J$4:$T$4,'[101]BGA 54_Diagramme'!$U$4)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'[101]BGA 54_Diagramme'!$I$5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'[101]BGA 54_Diagramme'!$J$3:$U$3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('[101]BGA 54_Diagramme'!$J$5:$T$5,'[101]BGA 54_Diagramme'!$U$5)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4"/>
          <c:tx>
            <c:strRef>
              <c:f>'[101]BGA 54_Diagramme'!$I$8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solidFill>
                <a:schemeClr val="accent5">
                  <a:lumMod val="20000"/>
                  <a:lumOff val="8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'[101]BGA 54_Diagramme'!$J$3:$U$3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('[101]BGA 54_Diagramme'!$J$8:$T$8,'[101]BGA 54_Diagramme'!$U$8)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5"/>
          <c:tx>
            <c:strRef>
              <c:f>'[101]BGA 54_Diagramme'!$I$7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'[101]BGA 54_Diagramme'!$J$3:$U$3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('[101]BGA 54_Diagramme'!$J$7:$T$7,'[101]BGA 54_Diagramme'!$U$7)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6"/>
          <c:tx>
            <c:strRef>
              <c:f>'[101]BGA 54_Diagramme'!$I$6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'[101]BGA 54_Diagramme'!$J$3:$U$3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('[101]BGA 54_Diagramme'!$J$6:$T$6,'[101]BGA 54_Diagramme'!$U$6)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6582656"/>
        <c:axId val="266584832"/>
      </c:barChart>
      <c:lineChart>
        <c:grouping val="stacked"/>
        <c:varyColors val="0"/>
        <c:ser>
          <c:idx val="7"/>
          <c:order val="7"/>
          <c:tx>
            <c:strRef>
              <c:f>'[101]BGA 54_Diagramme'!$I$11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strRef>
              <c:f>'[101]BGA 54_Diagramme'!$J$3:$T$3</c:f>
              <c:strCache>
                <c:ptCount val="11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</c:strCache>
            </c:strRef>
          </c:cat>
          <c:val>
            <c:numRef>
              <c:f>('[101]BGA 54_Diagramme'!$J$11:$T$11,'[101]BGA 54_Diagramme'!$U$11)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588928"/>
        <c:axId val="266586752"/>
      </c:lineChart>
      <c:dateAx>
        <c:axId val="26658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584832"/>
        <c:crosses val="autoZero"/>
        <c:auto val="0"/>
        <c:lblAlgn val="ctr"/>
        <c:lblOffset val="100"/>
        <c:baseTimeUnit val="days"/>
      </c:dateAx>
      <c:valAx>
        <c:axId val="2665848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582656"/>
        <c:crosses val="autoZero"/>
        <c:crossBetween val="between"/>
      </c:valAx>
      <c:dateAx>
        <c:axId val="266588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586752"/>
        <c:crosses val="autoZero"/>
        <c:auto val="0"/>
        <c:lblAlgn val="ctr"/>
        <c:lblOffset val="100"/>
        <c:baseTimeUnit val="days"/>
      </c:dateAx>
      <c:valAx>
        <c:axId val="26658675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2071503680336"/>
              <c:y val="0.072265883629154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6588928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0157713803124767"/>
          <c:y val="0.836371094943298"/>
          <c:w val="0.983178585326676"/>
          <c:h val="0.1446265297597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'[101]BGA 54_Diagramme'!$J$23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'[101]BGA 54_Diagramme'!$I$24:$I$35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'[101]BGA 54_Diagramme'!$J$24:$J$35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'[101]BGA 54_Diagramme'!$K$23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cat>
            <c:strRef>
              <c:f>'[101]BGA 54_Diagramme'!$I$24:$I$35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'[101]BGA 54_Diagramme'!$K$24:$K$35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7680384"/>
        <c:axId val="267686272"/>
      </c:barChart>
      <c:catAx>
        <c:axId val="2676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686272"/>
        <c:crosses val="autoZero"/>
        <c:auto val="1"/>
        <c:lblAlgn val="ctr"/>
        <c:lblOffset val="100"/>
        <c:noMultiLvlLbl val="0"/>
      </c:catAx>
      <c:valAx>
        <c:axId val="267686272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68038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2352436832394"/>
          <c:y val="0.0739306397306397"/>
          <c:w val="0.377404084145273"/>
          <c:h val="0.08165875513360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431150867784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'[101]BGA 54_Diagramme'!$L$40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'[101]BGA 54_Diagramme'!$K$41:$K$52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'[101]BGA 54_Diagramme'!$L$41:$L$52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1"/>
          <c:tx>
            <c:strRef>
              <c:f>'[101]BGA 54_Diagramme'!$M$40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'[101]BGA 54_Diagramme'!$K$41:$K$52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'[101]BGA 54_Diagramme'!$M$41:$M$52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7724672"/>
        <c:axId val="267726208"/>
      </c:barChart>
      <c:catAx>
        <c:axId val="26772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7726208"/>
        <c:crosses val="autoZero"/>
        <c:auto val="1"/>
        <c:lblAlgn val="ctr"/>
        <c:lblOffset val="100"/>
        <c:noMultiLvlLbl val="0"/>
      </c:catAx>
      <c:valAx>
        <c:axId val="267726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77246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2613427361868"/>
          <c:y val="0.0506595749357129"/>
          <c:w val="0.863386986189559"/>
          <c:h val="0.067299061517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2872288826129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'[103]BGA 55_Diagramme'!$K$5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'[102]Diagramm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'[103]BGA 55_Diagramme'!$L$5:$W$5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1"/>
          <c:tx>
            <c:strRef>
              <c:f>'[103]BGA 55_Diagramme'!$K$6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'[102]Diagramm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'[103]BGA 55_Diagramme'!$L$6:$W$6</c:f>
              <c:numCache>
                <c:formatCode>General</c:formatCode>
                <c:ptCount val="12"/>
              </c:numCache>
            </c:numRef>
          </c:val>
        </c:ser>
        <c:ser>
          <c:idx val="2"/>
          <c:order val="2"/>
          <c:tx>
            <c:strRef>
              <c:f>'[103]BGA 55_Diagramme'!$K$9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'[102]Diagramm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'[103]BGA 55_Diagramme'!$L$9:$W$9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3"/>
          <c:tx>
            <c:strRef>
              <c:f>'[103]BGA 55_Diagramme'!$K$8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'[102]Diagramm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'[103]BGA 55_Diagramme'!$L$8:$W$8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4"/>
          <c:tx>
            <c:strRef>
              <c:f>'[103]BGA 55_Diagramme'!$K$7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'[102]Diagramm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'[103]BGA 55_Diagramme'!$L$7:$W$7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911168"/>
        <c:axId val="267912704"/>
      </c:barChart>
      <c:lineChart>
        <c:grouping val="stacked"/>
        <c:varyColors val="0"/>
        <c:ser>
          <c:idx val="7"/>
          <c:order val="5"/>
          <c:tx>
            <c:strRef>
              <c:f>'[103]BGA 55_Diagramme'!$K$10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'[103]BGA 55_Diagramme'!$L$10:$W$10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16416"/>
        <c:axId val="267914240"/>
      </c:lineChart>
      <c:dateAx>
        <c:axId val="26791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912704"/>
        <c:crosses val="autoZero"/>
        <c:auto val="0"/>
        <c:lblAlgn val="ctr"/>
        <c:lblOffset val="100"/>
        <c:baseTimeUnit val="days"/>
      </c:dateAx>
      <c:valAx>
        <c:axId val="2679127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911168"/>
        <c:crosses val="autoZero"/>
        <c:crossBetween val="between"/>
      </c:valAx>
      <c:dateAx>
        <c:axId val="26791641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914240"/>
        <c:crosses val="autoZero"/>
        <c:auto val="0"/>
        <c:lblAlgn val="ctr"/>
        <c:lblOffset val="100"/>
        <c:baseTimeUnit val="days"/>
      </c:dateAx>
      <c:valAx>
        <c:axId val="267914240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91641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0384601802955055"/>
          <c:y val="0.862210335347037"/>
          <c:w val="0.862747675127318"/>
          <c:h val="0.12512141445502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'[103]BGA 55_Diagramme'!$L$24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'[103]BGA 55_Diagramme'!$K$25:$K$36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'[103]BGA 55_Diagramme'!$L$25:$L$36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'[103]BGA 55_Diagramme'!$M$24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'[103]BGA 55_Diagramme'!$K$25:$K$36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'[103]BGA 55_Diagramme'!$M$25:$M$36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7959296"/>
        <c:axId val="267961088"/>
      </c:barChart>
      <c:catAx>
        <c:axId val="2679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7961088"/>
        <c:crosses val="autoZero"/>
        <c:auto val="1"/>
        <c:lblAlgn val="ctr"/>
        <c:lblOffset val="100"/>
        <c:noMultiLvlLbl val="0"/>
      </c:catAx>
      <c:valAx>
        <c:axId val="2679610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795929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376907754987879"/>
          <c:y val="0.0632211495724216"/>
          <c:w val="0.580234598030563"/>
          <c:h val="0.076204597578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691669413979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'[103]BGA 55_Diagramme'!$L$40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'[102]Diagramm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'[103]BGA 55_Diagramme'!$L$41:$L$52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121216"/>
        <c:axId val="268122752"/>
      </c:barChart>
      <c:catAx>
        <c:axId val="2681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122752"/>
        <c:crosses val="autoZero"/>
        <c:auto val="1"/>
        <c:lblAlgn val="ctr"/>
        <c:lblOffset val="100"/>
        <c:noMultiLvlLbl val="0"/>
      </c:catAx>
      <c:valAx>
        <c:axId val="268122752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1212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655488928965034"/>
        </c:manualLayout>
      </c:layout>
      <c:barChart>
        <c:barDir val="col"/>
        <c:grouping val="stacked"/>
        <c:varyColors val="0"/>
        <c:ser>
          <c:idx val="8"/>
          <c:order val="0"/>
          <c:tx>
            <c:strRef>
              <c:f>'[104]Diagramm Kapitel 5'!$P$2</c:f>
              <c:strCache>
                <c:ptCount val="1"/>
                <c:pt idx="0">
                  <c:v>Kartoffel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'[104]Diagramm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2.41510538641686</c:v>
                </c:pt>
                <c:pt idx="5">
                  <c:v>1.06961404759782</c:v>
                </c:pt>
                <c:pt idx="6">
                  <c:v>5.49871181450129</c:v>
                </c:pt>
                <c:pt idx="7">
                  <c:v>6.06732976281561</c:v>
                </c:pt>
                <c:pt idx="8">
                  <c:v>4.6588024488577</c:v>
                </c:pt>
                <c:pt idx="9">
                  <c:v>6.59645232815965</c:v>
                </c:pt>
                <c:pt idx="10">
                  <c:v>0.776633462772244</c:v>
                </c:pt>
                <c:pt idx="11">
                  <c:v>0</c:v>
                </c:pt>
              </c:numCache>
            </c:numRef>
          </c:val>
        </c:ser>
        <c:ser>
          <c:idx val="0"/>
          <c:order val="1"/>
          <c:tx>
            <c:strRef>
              <c:f>'[104]Diagramm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'[104]Diagramm Kapitel 5'!$D$4:$D$15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2"/>
          <c:tx>
            <c:strRef>
              <c:f>'[104]Diagramm Kapitel 5'!$E$2</c:f>
              <c:strCache>
                <c:ptCount val="1"/>
                <c:pt idx="0">
                  <c:v>Schweinegülle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'[104]Diagramm Kapitel 5'!$E$4:$E$15</c:f>
              <c:numCache>
                <c:formatCode>General</c:formatCode>
                <c:ptCount val="12"/>
                <c:pt idx="0">
                  <c:v>39.6317053642914</c:v>
                </c:pt>
                <c:pt idx="1">
                  <c:v>36.920744911217</c:v>
                </c:pt>
                <c:pt idx="2">
                  <c:v>36.7128977230587</c:v>
                </c:pt>
                <c:pt idx="3">
                  <c:v>37.7379371403276</c:v>
                </c:pt>
                <c:pt idx="4">
                  <c:v>37.4341334894614</c:v>
                </c:pt>
                <c:pt idx="5">
                  <c:v>41.2247080844995</c:v>
                </c:pt>
                <c:pt idx="6">
                  <c:v>37.6518218623482</c:v>
                </c:pt>
                <c:pt idx="7">
                  <c:v>37.8729915837796</c:v>
                </c:pt>
                <c:pt idx="8">
                  <c:v>38.1887412274153</c:v>
                </c:pt>
                <c:pt idx="9">
                  <c:v>39.198606271777</c:v>
                </c:pt>
                <c:pt idx="10">
                  <c:v>43.179132196522</c:v>
                </c:pt>
                <c:pt idx="11">
                  <c:v>43.6172934254285</c:v>
                </c:pt>
              </c:numCache>
            </c:numRef>
          </c:val>
        </c:ser>
        <c:ser>
          <c:idx val="4"/>
          <c:order val="3"/>
          <c:tx>
            <c:strRef>
              <c:f>"Mais-Ganzpflanzensilage"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'[104]Diagramm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'[104]Diagramm Kapitel 5'!$F$4:$F$15</c:f>
              <c:numCache>
                <c:formatCode>General</c:formatCode>
                <c:ptCount val="12"/>
                <c:pt idx="0">
                  <c:v>40.3923138510809</c:v>
                </c:pt>
                <c:pt idx="1">
                  <c:v>40.9195900101054</c:v>
                </c:pt>
                <c:pt idx="2">
                  <c:v>40.0949343617889</c:v>
                </c:pt>
                <c:pt idx="3">
                  <c:v>36.5353401209975</c:v>
                </c:pt>
                <c:pt idx="4">
                  <c:v>36.6290983606557</c:v>
                </c:pt>
                <c:pt idx="5">
                  <c:v>44.1126660130136</c:v>
                </c:pt>
                <c:pt idx="6">
                  <c:v>46.5955097534045</c:v>
                </c:pt>
                <c:pt idx="7">
                  <c:v>42.7773527161438</c:v>
                </c:pt>
                <c:pt idx="8">
                  <c:v>39.7118112587726</c:v>
                </c:pt>
                <c:pt idx="9">
                  <c:v>39.6183085207475</c:v>
                </c:pt>
                <c:pt idx="10">
                  <c:v>49.2149248691541</c:v>
                </c:pt>
                <c:pt idx="11">
                  <c:v>49.8592990534664</c:v>
                </c:pt>
              </c:numCache>
            </c:numRef>
          </c:val>
        </c:ser>
        <c:ser>
          <c:idx val="3"/>
          <c:order val="4"/>
          <c:tx>
            <c:strRef>
              <c:f>'[104]Diagramm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'[104]Diagramm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'[104]Diagramm Kapitel 5'!$I$4:$I$15</c:f>
              <c:numCache>
                <c:formatCode>General</c:formatCode>
                <c:ptCount val="12"/>
                <c:pt idx="0">
                  <c:v>0</c:v>
                </c:pt>
                <c:pt idx="1">
                  <c:v>0.3609065973726</c:v>
                </c:pt>
                <c:pt idx="2">
                  <c:v>0.763924942520211</c:v>
                </c:pt>
                <c:pt idx="3">
                  <c:v>2.79622251733805</c:v>
                </c:pt>
                <c:pt idx="4">
                  <c:v>1.66861826697892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3.23279080185157</c:v>
                </c:pt>
                <c:pt idx="9">
                  <c:v>0</c:v>
                </c:pt>
                <c:pt idx="10">
                  <c:v>0</c:v>
                </c:pt>
                <c:pt idx="11">
                  <c:v>0.631022426878145</c:v>
                </c:pt>
              </c:numCache>
            </c:numRef>
          </c:val>
        </c:ser>
        <c:ser>
          <c:idx val="2"/>
          <c:order val="5"/>
          <c:tx>
            <c:strRef>
              <c:f>'[104]Diagramm Kapitel 5'!$H$2</c:f>
              <c:strCache>
                <c:ptCount val="1"/>
                <c:pt idx="0">
                  <c:v>Zwiebel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'[104]Diagramm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'[104]Diagramm Kapitel 5'!$H$4:$H$15</c:f>
              <c:numCache>
                <c:formatCode>General</c:formatCode>
                <c:ptCount val="12"/>
                <c:pt idx="0">
                  <c:v>0.680544435548439</c:v>
                </c:pt>
                <c:pt idx="1">
                  <c:v>2.92334343871806</c:v>
                </c:pt>
                <c:pt idx="2">
                  <c:v>2.0247719350293</c:v>
                </c:pt>
                <c:pt idx="3">
                  <c:v>0.848458019772761</c:v>
                </c:pt>
                <c:pt idx="4">
                  <c:v>1.87353629976581</c:v>
                </c:pt>
                <c:pt idx="5">
                  <c:v>1.03396024601123</c:v>
                </c:pt>
                <c:pt idx="6">
                  <c:v>2.62053735737946</c:v>
                </c:pt>
                <c:pt idx="7">
                  <c:v>1.77505738332058</c:v>
                </c:pt>
                <c:pt idx="8">
                  <c:v>0.462893833059579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6"/>
          <c:tx>
            <c:strRef>
              <c:f>"Roggen-Ganzpflanzensilage"</c:f>
              <c:strCache>
                <c:ptCount val="1"/>
                <c:pt idx="0">
                  <c:v>Roggen-Ganzpflanzensilage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'[104]Diagramm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'[104]Diagramm Kapitel 5'!$J$4:$J$15</c:f>
              <c:numCache>
                <c:formatCode>General</c:formatCode>
                <c:ptCount val="12"/>
                <c:pt idx="0">
                  <c:v>19.2153722978383</c:v>
                </c:pt>
                <c:pt idx="1">
                  <c:v>16.7821567778259</c:v>
                </c:pt>
                <c:pt idx="2">
                  <c:v>17.904027293629</c:v>
                </c:pt>
                <c:pt idx="3">
                  <c:v>17.8249963110521</c:v>
                </c:pt>
                <c:pt idx="4">
                  <c:v>16.6129976580796</c:v>
                </c:pt>
                <c:pt idx="5">
                  <c:v>2.80773687494429</c:v>
                </c:pt>
                <c:pt idx="6">
                  <c:v>0.537357379462643</c:v>
                </c:pt>
                <c:pt idx="7">
                  <c:v>3.96327467482785</c:v>
                </c:pt>
                <c:pt idx="8">
                  <c:v>9.39973122293564</c:v>
                </c:pt>
                <c:pt idx="9">
                  <c:v>8.66328793158061</c:v>
                </c:pt>
                <c:pt idx="10">
                  <c:v>6.82930947155158</c:v>
                </c:pt>
                <c:pt idx="11">
                  <c:v>5.892385094227</c:v>
                </c:pt>
              </c:numCache>
            </c:numRef>
          </c:val>
        </c:ser>
        <c:ser>
          <c:idx val="1"/>
          <c:order val="7"/>
          <c:tx>
            <c:strRef>
              <c:f>'[104]Diagramm Kapitel 5'!$G$2</c:f>
              <c:strCache>
                <c:ptCount val="1"/>
                <c:pt idx="0">
                  <c:v>Maisstroh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'[104]Diagramm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'[104]Diagramm Kapitel 5'!$G$4:$G$15</c:f>
              <c:numCache>
                <c:formatCode>General</c:formatCode>
                <c:ptCount val="12"/>
                <c:pt idx="0">
                  <c:v>0.0800640512409928</c:v>
                </c:pt>
                <c:pt idx="1">
                  <c:v>2.09325826476108</c:v>
                </c:pt>
                <c:pt idx="2">
                  <c:v>2.2250241044278</c:v>
                </c:pt>
                <c:pt idx="3">
                  <c:v>2.44208351778073</c:v>
                </c:pt>
                <c:pt idx="4">
                  <c:v>2.68588992974239</c:v>
                </c:pt>
                <c:pt idx="5">
                  <c:v>7.57643283715126</c:v>
                </c:pt>
                <c:pt idx="6">
                  <c:v>5.45454545454546</c:v>
                </c:pt>
                <c:pt idx="7">
                  <c:v>4.15455241009946</c:v>
                </c:pt>
                <c:pt idx="8">
                  <c:v>3.18799462445871</c:v>
                </c:pt>
                <c:pt idx="9">
                  <c:v>4.26037377256889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'[104]Diagramm Kapitel 5'!$Q$2</c:f>
              <c:strCache>
                <c:ptCount val="1"/>
                <c:pt idx="0">
                  <c:v>Rote Beete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'[104]Diagramm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0.274419639546095</c:v>
                </c:pt>
                <c:pt idx="3">
                  <c:v>1.8149623727313</c:v>
                </c:pt>
                <c:pt idx="4">
                  <c:v>0.0731850117096019</c:v>
                </c:pt>
                <c:pt idx="5">
                  <c:v>0</c:v>
                </c:pt>
                <c:pt idx="6">
                  <c:v>0.721383879278616</c:v>
                </c:pt>
                <c:pt idx="7">
                  <c:v>1.5990818668707</c:v>
                </c:pt>
                <c:pt idx="8">
                  <c:v>0.223980886964312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'[104]Diagramm Kapitel 5'!$R$2</c:f>
              <c:strCache>
                <c:ptCount val="1"/>
                <c:pt idx="0">
                  <c:v>Kraut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'[104]Diagramm Kapitel 5'!$R$4:$R$15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0.607435597189696</c:v>
                </c:pt>
                <c:pt idx="5">
                  <c:v>2.17488189678224</c:v>
                </c:pt>
                <c:pt idx="6">
                  <c:v>0.920132499079868</c:v>
                </c:pt>
                <c:pt idx="7">
                  <c:v>1.79035960214231</c:v>
                </c:pt>
                <c:pt idx="8">
                  <c:v>0.933253695684635</c:v>
                </c:pt>
                <c:pt idx="9">
                  <c:v>1.6629711751663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062720"/>
        <c:axId val="268064640"/>
      </c:barChart>
      <c:lineChart>
        <c:grouping val="stacked"/>
        <c:varyColors val="0"/>
        <c:ser>
          <c:idx val="7"/>
          <c:order val="8"/>
          <c:tx>
            <c:strRef>
              <c:f>"Frischmasseeintrag"</c:f>
              <c:strCache>
                <c:ptCount val="1"/>
                <c:pt idx="0">
                  <c:v>Frischmasseeintrag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'[104]Diagramm Kapitel 5'!$Z$4:$Z$15</c:f>
              <c:numCache>
                <c:formatCode>General</c:formatCode>
                <c:ptCount val="12"/>
                <c:pt idx="0">
                  <c:v>41.6333333333333</c:v>
                </c:pt>
                <c:pt idx="1">
                  <c:v>44.6903225806452</c:v>
                </c:pt>
                <c:pt idx="2">
                  <c:v>44.9433333333333</c:v>
                </c:pt>
                <c:pt idx="3">
                  <c:v>43.7225806451613</c:v>
                </c:pt>
                <c:pt idx="4">
                  <c:v>44.0774193548387</c:v>
                </c:pt>
                <c:pt idx="5">
                  <c:v>40.0678571428571</c:v>
                </c:pt>
                <c:pt idx="6">
                  <c:v>43.8225806451613</c:v>
                </c:pt>
                <c:pt idx="7">
                  <c:v>43.5666666666667</c:v>
                </c:pt>
                <c:pt idx="8">
                  <c:v>43.2064516129032</c:v>
                </c:pt>
                <c:pt idx="9">
                  <c:v>42.0933333333333</c:v>
                </c:pt>
                <c:pt idx="10">
                  <c:v>38.2129032258065</c:v>
                </c:pt>
                <c:pt idx="11">
                  <c:v>37.8290322580645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072832"/>
        <c:axId val="268070912"/>
      </c:lineChart>
      <c:dateAx>
        <c:axId val="26806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064640"/>
        <c:crosses val="autoZero"/>
        <c:auto val="0"/>
        <c:lblAlgn val="ctr"/>
        <c:lblOffset val="100"/>
        <c:baseTimeUnit val="days"/>
      </c:dateAx>
      <c:valAx>
        <c:axId val="2680646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00511666666666667"/>
              <c:y val="0.09634280132251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062720"/>
        <c:crosses val="autoZero"/>
        <c:crossBetween val="between"/>
      </c:valAx>
      <c:dateAx>
        <c:axId val="26807283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070912"/>
        <c:crosses val="autoZero"/>
        <c:auto val="0"/>
        <c:lblAlgn val="ctr"/>
        <c:lblOffset val="100"/>
        <c:baseTimeUnit val="days"/>
      </c:dateAx>
      <c:valAx>
        <c:axId val="26807091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2972222222222"/>
              <c:y val="0.03730237451157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07283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0123892156862745"/>
          <c:y val="0.797824115820058"/>
          <c:w val="0.98346053421043"/>
          <c:h val="0.19271666165714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805656902356902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'[105]BGA 56_Diagramme'!$L$23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'[105]BGA 56_Diagramme'!$K$24:$K$35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'[105]BGA 56_Diagramme'!$L$24:$L$35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'[105]BGA 56_Diagramme'!$M$23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'[105]BGA 56_Diagramme'!$K$24:$K$35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'[105]BGA 56_Diagramme'!$M$24:$M$35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6276224"/>
        <c:axId val="266282112"/>
      </c:barChart>
      <c:catAx>
        <c:axId val="26627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6282112"/>
        <c:crosses val="autoZero"/>
        <c:auto val="1"/>
        <c:lblAlgn val="ctr"/>
        <c:lblOffset val="100"/>
        <c:noMultiLvlLbl val="0"/>
      </c:catAx>
      <c:valAx>
        <c:axId val="266282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627622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36030899185713"/>
          <c:y val="0.076768538766512"/>
          <c:w val="0.586459134204594"/>
          <c:h val="0.076204597578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580018608467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'[105]BGA 56_Diagramme'!$L$42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'[104]Diagramm Kapitel 5'!$C$49:$C$60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'[105]BGA 56_Diagramme'!$L$43:$L$54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311168"/>
        <c:axId val="266312704"/>
      </c:barChart>
      <c:catAx>
        <c:axId val="26631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6312704"/>
        <c:crosses val="autoZero"/>
        <c:auto val="1"/>
        <c:lblAlgn val="ctr"/>
        <c:lblOffset val="100"/>
        <c:noMultiLvlLbl val="0"/>
      </c:catAx>
      <c:valAx>
        <c:axId val="266312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6311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'[106]BGA 57_Diagramme'!$M$3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'[106]BGA 57_Diagramme'!$K$4:$K$15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'[106]BGA 57_Diagramme'!$M$4:$M$15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1"/>
          <c:tx>
            <c:strRef>
              <c:f>'[106]BGA 57_Diagramme'!$N$3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'[106]BGA 57_Diagramme'!$K$4:$K$15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'[106]BGA 57_Diagramme'!$N$4:$N$15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2"/>
          <c:tx>
            <c:strRef>
              <c:f>'[106]BGA 57_Diagramme'!$O$3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'[106]BGA 57_Diagramme'!$K$4:$K$15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'[106]BGA 57_Diagramme'!$O$4:$O$15</c:f>
              <c:numCache>
                <c:formatCode>General</c:formatCode>
                <c:ptCount val="12"/>
              </c:numCache>
            </c:numRef>
          </c:val>
        </c:ser>
        <c:ser>
          <c:idx val="1"/>
          <c:order val="3"/>
          <c:tx>
            <c:strRef>
              <c:f>'[107]Diagramm Kapitel 5'!$G$2</c:f>
              <c:strCache>
                <c:ptCount val="1"/>
                <c:pt idx="0">
                  <c:v>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'[106]BGA 57_Diagramme'!$K$4:$K$15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'[107]Diagramm Kapitel 5'!$G$4:$G$15</c:f>
              <c:numCache>
                <c:formatCode>General</c:formatCode>
                <c:ptCount val="12"/>
                <c:pt idx="0">
                  <c:v>0.747863247863248</c:v>
                </c:pt>
                <c:pt idx="1">
                  <c:v>0.452488687782805</c:v>
                </c:pt>
                <c:pt idx="2">
                  <c:v>0.875341930441579</c:v>
                </c:pt>
                <c:pt idx="3">
                  <c:v>0.779376498800959</c:v>
                </c:pt>
                <c:pt idx="4">
                  <c:v>0.998003992015968</c:v>
                </c:pt>
                <c:pt idx="5">
                  <c:v>0.822720613095909</c:v>
                </c:pt>
                <c:pt idx="6">
                  <c:v>1.55555555555556</c:v>
                </c:pt>
                <c:pt idx="7">
                  <c:v>0.96830985915493</c:v>
                </c:pt>
                <c:pt idx="8">
                  <c:v>2.330743618202</c:v>
                </c:pt>
                <c:pt idx="9">
                  <c:v>1.97176786914631</c:v>
                </c:pt>
                <c:pt idx="10">
                  <c:v>1.68954593453009</c:v>
                </c:pt>
                <c:pt idx="11">
                  <c:v>0.662251655629139</c:v>
                </c:pt>
              </c:numCache>
            </c:numRef>
          </c:val>
        </c:ser>
        <c:ser>
          <c:idx val="9"/>
          <c:order val="5"/>
          <c:tx>
            <c:strRef>
              <c:f>'[107]Diagramm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'[106]BGA 57_Diagramme'!$K$4:$K$15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'[107]Diagramm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544256"/>
        <c:axId val="268435840"/>
      </c:barChart>
      <c:lineChart>
        <c:grouping val="stacked"/>
        <c:varyColors val="0"/>
        <c:ser>
          <c:idx val="7"/>
          <c:order val="4"/>
          <c:tx>
            <c:strRef>
              <c:f>'[106]BGA 57_Diagramme'!$L$3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'[106]BGA 57_Diagramme'!$L$4:$L$15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439936"/>
        <c:axId val="268437760"/>
      </c:lineChart>
      <c:dateAx>
        <c:axId val="26854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435840"/>
        <c:crosses val="autoZero"/>
        <c:auto val="0"/>
        <c:lblAlgn val="ctr"/>
        <c:lblOffset val="100"/>
        <c:baseTimeUnit val="days"/>
      </c:dateAx>
      <c:valAx>
        <c:axId val="2684358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544256"/>
        <c:crosses val="autoZero"/>
        <c:crossBetween val="between"/>
      </c:valAx>
      <c:dateAx>
        <c:axId val="26843993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437760"/>
        <c:crosses val="autoZero"/>
        <c:auto val="0"/>
        <c:lblAlgn val="ctr"/>
        <c:lblOffset val="100"/>
        <c:baseTimeUnit val="days"/>
      </c:dateAx>
      <c:valAx>
        <c:axId val="268437760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32972222222222"/>
              <c:y val="0.078362388538222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43993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436983677992"/>
          <c:y val="0.0556740803953989"/>
          <c:w val="0.837656581393244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'[106]BGA 57_Diagramme'!$L$23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'[106]BGA 57_Diagramme'!$K$24:$K$35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'[106]BGA 57_Diagramme'!$L$24:$L$35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'[106]BGA 57_Diagramme'!$M$23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cat>
            <c:strRef>
              <c:f>'[106]BGA 57_Diagramme'!$K$24:$K$35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'[106]BGA 57_Diagramme'!$M$24:$M$35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8466816"/>
        <c:axId val="268480896"/>
      </c:barChart>
      <c:catAx>
        <c:axId val="2684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480896"/>
        <c:crosses val="autoZero"/>
        <c:auto val="1"/>
        <c:lblAlgn val="ctr"/>
        <c:lblOffset val="100"/>
        <c:noMultiLvlLbl val="1"/>
      </c:catAx>
      <c:valAx>
        <c:axId val="268480896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0207850496116772"/>
              <c:y val="0.30553060607676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46681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470257663122874"/>
          <c:y val="0.0722527423684819"/>
          <c:w val="0.482752970214696"/>
          <c:h val="0.08165875513360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691669413979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'[106]BGA 57_Diagramme'!$L$39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'[106]BGA 57_Diagramme'!$K$40:$K$51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'[106]BGA 57_Diagramme'!$L$40:$L$51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575488"/>
        <c:axId val="268577024"/>
      </c:barChart>
      <c:catAx>
        <c:axId val="2685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577024"/>
        <c:crosses val="autoZero"/>
        <c:auto val="1"/>
        <c:lblAlgn val="ctr"/>
        <c:lblOffset val="100"/>
        <c:noMultiLvlLbl val="1"/>
      </c:catAx>
      <c:valAx>
        <c:axId val="26857702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575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885784313725"/>
          <c:y val="0.0420807033363391"/>
          <c:w val="0.775449932562394"/>
          <c:h val="0.7381960725378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'[108]Diagramm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'[108]Diagramm Kapitel 5'!$D$4:$D$15</c:f>
              <c:numCache>
                <c:formatCode>General</c:formatCode>
                <c:ptCount val="12"/>
                <c:pt idx="0">
                  <c:v>1.90114068441065</c:v>
                </c:pt>
                <c:pt idx="1">
                  <c:v>1.25426449929761</c:v>
                </c:pt>
                <c:pt idx="2">
                  <c:v>0.229384103681615</c:v>
                </c:pt>
                <c:pt idx="3">
                  <c:v>1.71195051910758</c:v>
                </c:pt>
                <c:pt idx="4">
                  <c:v>2.03727283250376</c:v>
                </c:pt>
                <c:pt idx="5">
                  <c:v>3.5725677830941</c:v>
                </c:pt>
                <c:pt idx="6">
                  <c:v>3.31698617922425</c:v>
                </c:pt>
                <c:pt idx="7">
                  <c:v>3.4020034020034</c:v>
                </c:pt>
                <c:pt idx="8">
                  <c:v>3.6098981077147</c:v>
                </c:pt>
                <c:pt idx="9">
                  <c:v>3.6979969183359</c:v>
                </c:pt>
                <c:pt idx="10">
                  <c:v>4.08297662166612</c:v>
                </c:pt>
                <c:pt idx="11">
                  <c:v>6.59457542988832</c:v>
                </c:pt>
              </c:numCache>
            </c:numRef>
          </c:val>
        </c:ser>
        <c:ser>
          <c:idx val="6"/>
          <c:order val="1"/>
          <c:tx>
            <c:strRef>
              <c:f>'[108]Diagramm Kapitel 5'!$E$2</c:f>
              <c:strCache>
                <c:ptCount val="1"/>
                <c:pt idx="0">
                  <c:v>Hühnertrockenkot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'[108]Diagramm Kapitel 5'!$E$4:$E$15</c:f>
              <c:numCache>
                <c:formatCode>General</c:formatCode>
                <c:ptCount val="12"/>
                <c:pt idx="0">
                  <c:v>1.15335868187579</c:v>
                </c:pt>
                <c:pt idx="1">
                  <c:v>3.31125827814569</c:v>
                </c:pt>
                <c:pt idx="2">
                  <c:v>4.47299002179149</c:v>
                </c:pt>
                <c:pt idx="3">
                  <c:v>4.16390545615197</c:v>
                </c:pt>
                <c:pt idx="4">
                  <c:v>3.46104873249219</c:v>
                </c:pt>
                <c:pt idx="5">
                  <c:v>1.79691653375864</c:v>
                </c:pt>
                <c:pt idx="6">
                  <c:v>0</c:v>
                </c:pt>
                <c:pt idx="7">
                  <c:v>3.68550368550369</c:v>
                </c:pt>
                <c:pt idx="8">
                  <c:v>3.91072295002426</c:v>
                </c:pt>
                <c:pt idx="9">
                  <c:v>4.00616332819723</c:v>
                </c:pt>
                <c:pt idx="10">
                  <c:v>4.42322467347163</c:v>
                </c:pt>
                <c:pt idx="11">
                  <c:v>5.0700230455593</c:v>
                </c:pt>
              </c:numCache>
            </c:numRef>
          </c:val>
        </c:ser>
        <c:ser>
          <c:idx val="4"/>
          <c:order val="2"/>
          <c:tx>
            <c:strRef>
              <c:f>"Mais-Ganzpflanzensilage"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'[108]Diagramm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'[108]Diagramm Kapitel 5'!$F$4:$F$15</c:f>
              <c:numCache>
                <c:formatCode>General</c:formatCode>
                <c:ptCount val="12"/>
                <c:pt idx="0">
                  <c:v>83.0038022813688</c:v>
                </c:pt>
                <c:pt idx="1">
                  <c:v>78.2861729881597</c:v>
                </c:pt>
                <c:pt idx="2">
                  <c:v>78.0938180984058</c:v>
                </c:pt>
                <c:pt idx="3">
                  <c:v>84.7360282747957</c:v>
                </c:pt>
                <c:pt idx="4">
                  <c:v>88.0194466952193</c:v>
                </c:pt>
                <c:pt idx="5">
                  <c:v>73.2589048378522</c:v>
                </c:pt>
                <c:pt idx="6">
                  <c:v>67.6593847525635</c:v>
                </c:pt>
                <c:pt idx="7">
                  <c:v>67.3974673974674</c:v>
                </c:pt>
                <c:pt idx="8">
                  <c:v>65.4051431344008</c:v>
                </c:pt>
                <c:pt idx="9">
                  <c:v>64.7149460708783</c:v>
                </c:pt>
                <c:pt idx="10">
                  <c:v>68.9935243112721</c:v>
                </c:pt>
                <c:pt idx="11">
                  <c:v>75.2171600780004</c:v>
                </c:pt>
              </c:numCache>
            </c:numRef>
          </c:val>
        </c:ser>
        <c:ser>
          <c:idx val="3"/>
          <c:order val="3"/>
          <c:tx>
            <c:strRef>
              <c:f>'[108]Diagramm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'[108]Diagramm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'[108]Diagramm Kapitel 5'!$I$4:$I$15</c:f>
              <c:numCache>
                <c:formatCode>General</c:formatCode>
                <c:ptCount val="12"/>
                <c:pt idx="0">
                  <c:v>0</c:v>
                </c:pt>
                <c:pt idx="1">
                  <c:v>3.4115994380895</c:v>
                </c:pt>
                <c:pt idx="2">
                  <c:v>6.88152311044845</c:v>
                </c:pt>
                <c:pt idx="3">
                  <c:v>1.10448420587586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4"/>
          <c:tx>
            <c:strRef>
              <c:f>"Roggen-Ganzpflanzensilage"</c:f>
              <c:strCache>
                <c:ptCount val="1"/>
                <c:pt idx="0">
                  <c:v>Roggen-Ganzpflanzensilage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'[108]Diagramm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'[108]Diagramm Kapitel 5'!$J$4:$J$15</c:f>
              <c:numCache>
                <c:formatCode>General</c:formatCode>
                <c:ptCount val="12"/>
                <c:pt idx="0">
                  <c:v>13.9416983523447</c:v>
                </c:pt>
                <c:pt idx="1">
                  <c:v>9.72305839855509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16.2466772993089</c:v>
                </c:pt>
                <c:pt idx="6">
                  <c:v>24.8773963441819</c:v>
                </c:pt>
                <c:pt idx="7">
                  <c:v>25.5150255150255</c:v>
                </c:pt>
                <c:pt idx="8">
                  <c:v>27.0742358078603</c:v>
                </c:pt>
                <c:pt idx="9">
                  <c:v>27.5808936825886</c:v>
                </c:pt>
                <c:pt idx="10">
                  <c:v>22.5002743935902</c:v>
                </c:pt>
                <c:pt idx="11">
                  <c:v>13.118241446552</c:v>
                </c:pt>
              </c:numCache>
            </c:numRef>
          </c:val>
        </c:ser>
        <c:ser>
          <c:idx val="1"/>
          <c:order val="5"/>
          <c:tx>
            <c:strRef>
              <c:f>'[108]Diagramm Kapitel 5'!$G$2</c:f>
              <c:strCache>
                <c:ptCount val="1"/>
                <c:pt idx="0">
                  <c:v>Maiskornsilage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'[108]Diagramm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'[108]Diagramm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4.01364639775236</c:v>
                </c:pt>
                <c:pt idx="2">
                  <c:v>10.3222846656727</c:v>
                </c:pt>
                <c:pt idx="3">
                  <c:v>8.28363154406892</c:v>
                </c:pt>
                <c:pt idx="4">
                  <c:v>6.4822317397847</c:v>
                </c:pt>
                <c:pt idx="5">
                  <c:v>5.12493354598618</c:v>
                </c:pt>
                <c:pt idx="6">
                  <c:v>4.14623272403032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823168"/>
        <c:axId val="268837632"/>
      </c:barChart>
      <c:lineChart>
        <c:grouping val="stacked"/>
        <c:varyColors val="0"/>
        <c:ser>
          <c:idx val="7"/>
          <c:order val="6"/>
          <c:tx>
            <c:strRef>
              <c:f>"Frischmasseeintrag"</c:f>
              <c:strCache>
                <c:ptCount val="1"/>
                <c:pt idx="0">
                  <c:v>Frischmasseeintrag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'[108]Diagramm Kapitel 5'!$Z$4:$Z$15</c:f>
              <c:numCache>
                <c:formatCode>General</c:formatCode>
                <c:ptCount val="12"/>
                <c:pt idx="0">
                  <c:v>26.3</c:v>
                </c:pt>
                <c:pt idx="1">
                  <c:v>32.1483870967742</c:v>
                </c:pt>
                <c:pt idx="2">
                  <c:v>29.0633333333333</c:v>
                </c:pt>
                <c:pt idx="3">
                  <c:v>29.2064516129032</c:v>
                </c:pt>
                <c:pt idx="4">
                  <c:v>27.8677419354839</c:v>
                </c:pt>
                <c:pt idx="5">
                  <c:v>33.5892857142857</c:v>
                </c:pt>
                <c:pt idx="6">
                  <c:v>36.1774193548387</c:v>
                </c:pt>
                <c:pt idx="7">
                  <c:v>35.2733333333333</c:v>
                </c:pt>
                <c:pt idx="8">
                  <c:v>33.241935483871</c:v>
                </c:pt>
                <c:pt idx="9">
                  <c:v>32.45</c:v>
                </c:pt>
                <c:pt idx="10">
                  <c:v>29.3903225806452</c:v>
                </c:pt>
                <c:pt idx="11">
                  <c:v>18.1967741935484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841728"/>
        <c:axId val="268839552"/>
      </c:lineChart>
      <c:dateAx>
        <c:axId val="2688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837632"/>
        <c:crosses val="autoZero"/>
        <c:auto val="0"/>
        <c:lblAlgn val="ctr"/>
        <c:lblOffset val="100"/>
        <c:baseTimeUnit val="days"/>
      </c:dateAx>
      <c:valAx>
        <c:axId val="2688376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823168"/>
        <c:crosses val="autoZero"/>
        <c:crossBetween val="between"/>
      </c:valAx>
      <c:dateAx>
        <c:axId val="26884172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839552"/>
        <c:crosses val="autoZero"/>
        <c:auto val="0"/>
        <c:lblAlgn val="ctr"/>
        <c:lblOffset val="100"/>
        <c:baseTimeUnit val="days"/>
      </c:dateAx>
      <c:valAx>
        <c:axId val="26883955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841728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6"/>
        <c:delete val="1"/>
      </c:legendEntry>
      <c:layout>
        <c:manualLayout>
          <c:xMode val="edge"/>
          <c:yMode val="edge"/>
          <c:x val="0.0179122549019608"/>
          <c:y val="0.855239955916241"/>
          <c:w val="0.953799673202614"/>
          <c:h val="0.125673780182346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'[109]BGA 58_Diagramme'!$K$25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'[109]BGA 58_Diagramme'!$J$26:$J$37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'[109]BGA 58_Diagramme'!$K$26:$K$37</c:f>
              <c:numCache>
                <c:formatCode>General</c:formatCode>
                <c:ptCount val="12"/>
              </c:numCache>
            </c:numRef>
          </c:val>
        </c:ser>
        <c:ser>
          <c:idx val="0"/>
          <c:order val="1"/>
          <c:tx>
            <c:strRef>
              <c:f>'[109]BGA 58_Diagramme'!$L$25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cat>
            <c:strRef>
              <c:f>'[109]BGA 58_Diagramme'!$J$26:$J$37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'[109]BGA 58_Diagramme'!$L$26:$L$37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8868224"/>
        <c:axId val="268874112"/>
      </c:barChart>
      <c:catAx>
        <c:axId val="2688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874112"/>
        <c:crosses val="autoZero"/>
        <c:auto val="1"/>
        <c:lblAlgn val="ctr"/>
        <c:lblOffset val="100"/>
        <c:noMultiLvlLbl val="0"/>
      </c:catAx>
      <c:valAx>
        <c:axId val="268874112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86822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11309410420429"/>
          <c:y val="0.0767686868686869"/>
          <c:w val="0.451630289344542"/>
          <c:h val="0.08165875513360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4129292929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'[109]BGA 58_Diagramme'!$L$42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'[109]BGA 58_Diagramme'!$K$43:$K$54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'[109]BGA 58_Diagramme'!$L$43:$L$54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903168"/>
        <c:axId val="268904704"/>
      </c:barChart>
      <c:catAx>
        <c:axId val="26890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904704"/>
        <c:crosses val="autoZero"/>
        <c:auto val="1"/>
        <c:lblAlgn val="ctr"/>
        <c:lblOffset val="100"/>
        <c:noMultiLvlLbl val="0"/>
      </c:catAx>
      <c:valAx>
        <c:axId val="268904704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90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60463380422803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'[110]Diagramm Kapitel 5'!$E$2</c:f>
              <c:strCache>
                <c:ptCount val="1"/>
                <c:pt idx="0">
                  <c:v>Schweinegülle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'[110]Diagramm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'[110]Diagramm Kapitel 5'!$E$4:$E$15</c:f>
              <c:numCache>
                <c:formatCode>General</c:formatCode>
                <c:ptCount val="12"/>
                <c:pt idx="0">
                  <c:v>82.1917808219178</c:v>
                </c:pt>
                <c:pt idx="1">
                  <c:v>82.1917808219178</c:v>
                </c:pt>
                <c:pt idx="2">
                  <c:v>81.6326530612245</c:v>
                </c:pt>
                <c:pt idx="3">
                  <c:v>84.0677966101695</c:v>
                </c:pt>
                <c:pt idx="4">
                  <c:v>81.0810810810811</c:v>
                </c:pt>
                <c:pt idx="5">
                  <c:v>81.0810810810811</c:v>
                </c:pt>
                <c:pt idx="6">
                  <c:v>84.1487279843444</c:v>
                </c:pt>
                <c:pt idx="7">
                  <c:v>89.6296296296296</c:v>
                </c:pt>
                <c:pt idx="8">
                  <c:v>92.5925925925926</c:v>
                </c:pt>
                <c:pt idx="9">
                  <c:v>92.2055569215638</c:v>
                </c:pt>
                <c:pt idx="10">
                  <c:v>91.3473737630043</c:v>
                </c:pt>
                <c:pt idx="11">
                  <c:v>89.0564826700898</c:v>
                </c:pt>
              </c:numCache>
            </c:numRef>
          </c:val>
        </c:ser>
        <c:ser>
          <c:idx val="4"/>
          <c:order val="1"/>
          <c:tx>
            <c:strRef>
              <c:f>"Mais-Ganzpflanzensilage"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'[110]Diagramm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'[110]Diagramm Kapitel 5'!$F$4:$F$15</c:f>
              <c:numCache>
                <c:formatCode>General</c:formatCode>
                <c:ptCount val="12"/>
                <c:pt idx="0">
                  <c:v>13.6986301369863</c:v>
                </c:pt>
                <c:pt idx="1">
                  <c:v>8.90410958904109</c:v>
                </c:pt>
                <c:pt idx="2">
                  <c:v>13.6054421768707</c:v>
                </c:pt>
                <c:pt idx="3">
                  <c:v>12.8587570621469</c:v>
                </c:pt>
                <c:pt idx="4">
                  <c:v>13.5135135135135</c:v>
                </c:pt>
                <c:pt idx="5">
                  <c:v>13.5135135135135</c:v>
                </c:pt>
                <c:pt idx="6">
                  <c:v>12.133072407045</c:v>
                </c:pt>
                <c:pt idx="7">
                  <c:v>8.88888888888889</c:v>
                </c:pt>
                <c:pt idx="8">
                  <c:v>7.40740740740741</c:v>
                </c:pt>
                <c:pt idx="9">
                  <c:v>5.99950823702975</c:v>
                </c:pt>
                <c:pt idx="10">
                  <c:v>3.93301192590713</c:v>
                </c:pt>
                <c:pt idx="11">
                  <c:v>6.12965340179718</c:v>
                </c:pt>
              </c:numCache>
            </c:numRef>
          </c:val>
        </c:ser>
        <c:ser>
          <c:idx val="5"/>
          <c:order val="2"/>
          <c:tx>
            <c:strRef>
              <c:f>"Gerste-Ganzpflanzensilage"</c:f>
              <c:strCache>
                <c:ptCount val="1"/>
                <c:pt idx="0">
                  <c:v>Gerste-Ganzpflanzensilage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'[110]Diagramm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'[110]Diagramm Kapitel 5'!$J$4:$J$15</c:f>
              <c:numCache>
                <c:formatCode>General</c:formatCode>
                <c:ptCount val="12"/>
                <c:pt idx="0">
                  <c:v>2.05479452054794</c:v>
                </c:pt>
                <c:pt idx="1">
                  <c:v>2.05479452054795</c:v>
                </c:pt>
                <c:pt idx="2">
                  <c:v>2.04081632653061</c:v>
                </c:pt>
                <c:pt idx="3">
                  <c:v>0.677966101694915</c:v>
                </c:pt>
                <c:pt idx="4">
                  <c:v>2.7027027027027</c:v>
                </c:pt>
                <c:pt idx="5">
                  <c:v>2.7027027027027</c:v>
                </c:pt>
                <c:pt idx="6">
                  <c:v>2.426614481409</c:v>
                </c:pt>
                <c:pt idx="7">
                  <c:v>0.296296296296296</c:v>
                </c:pt>
                <c:pt idx="8">
                  <c:v>0</c:v>
                </c:pt>
                <c:pt idx="9">
                  <c:v>1.47528891074502</c:v>
                </c:pt>
                <c:pt idx="10">
                  <c:v>3.93301192590713</c:v>
                </c:pt>
                <c:pt idx="11">
                  <c:v>4.01155327342747</c:v>
                </c:pt>
              </c:numCache>
            </c:numRef>
          </c:val>
        </c:ser>
        <c:ser>
          <c:idx val="1"/>
          <c:order val="3"/>
          <c:tx>
            <c:strRef>
              <c:f>"Maiskornsilage"</c:f>
              <c:strCache>
                <c:ptCount val="1"/>
                <c:pt idx="0">
                  <c:v>Maiskornsilage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'[110]Diagramm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'[110]Diagramm Kapitel 5'!$G$4:$G$15</c:f>
              <c:numCache>
                <c:formatCode>General</c:formatCode>
                <c:ptCount val="12"/>
                <c:pt idx="0">
                  <c:v>2.05479452054794</c:v>
                </c:pt>
                <c:pt idx="1">
                  <c:v>6.84931506849315</c:v>
                </c:pt>
                <c:pt idx="2">
                  <c:v>2.72108843537415</c:v>
                </c:pt>
                <c:pt idx="3">
                  <c:v>2.3954802259887</c:v>
                </c:pt>
                <c:pt idx="4">
                  <c:v>2.7027027027027</c:v>
                </c:pt>
                <c:pt idx="5">
                  <c:v>2.7027027027027</c:v>
                </c:pt>
                <c:pt idx="6">
                  <c:v>1.29158512720157</c:v>
                </c:pt>
                <c:pt idx="7">
                  <c:v>1.18518518518519</c:v>
                </c:pt>
                <c:pt idx="8">
                  <c:v>0</c:v>
                </c:pt>
                <c:pt idx="9">
                  <c:v>0.319645930661421</c:v>
                </c:pt>
                <c:pt idx="10">
                  <c:v>0.786602385181426</c:v>
                </c:pt>
                <c:pt idx="11">
                  <c:v>0.802310654685494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9926784"/>
        <c:axId val="269928704"/>
      </c:barChart>
      <c:lineChart>
        <c:grouping val="stacked"/>
        <c:varyColors val="0"/>
        <c:ser>
          <c:idx val="7"/>
          <c:order val="4"/>
          <c:tx>
            <c:strRef>
              <c:f>"Frischmasseeintrag"</c:f>
              <c:strCache>
                <c:ptCount val="1"/>
                <c:pt idx="0">
                  <c:v>Frischmasseeintrag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'[110]Diagramm Kapitel 5'!$Z$4:$Z$15</c:f>
              <c:numCache>
                <c:formatCode>General</c:formatCode>
                <c:ptCount val="12"/>
                <c:pt idx="0">
                  <c:v>14.6</c:v>
                </c:pt>
                <c:pt idx="1">
                  <c:v>14.6</c:v>
                </c:pt>
                <c:pt idx="2">
                  <c:v>14.7</c:v>
                </c:pt>
                <c:pt idx="3">
                  <c:v>14.2741935483871</c:v>
                </c:pt>
                <c:pt idx="4">
                  <c:v>14.8</c:v>
                </c:pt>
                <c:pt idx="5">
                  <c:v>14.8</c:v>
                </c:pt>
                <c:pt idx="6">
                  <c:v>16.4838709677419</c:v>
                </c:pt>
                <c:pt idx="7">
                  <c:v>22.5</c:v>
                </c:pt>
                <c:pt idx="8">
                  <c:v>27</c:v>
                </c:pt>
                <c:pt idx="9">
                  <c:v>27.1133333333333</c:v>
                </c:pt>
                <c:pt idx="10">
                  <c:v>25.4258064516129</c:v>
                </c:pt>
                <c:pt idx="11">
                  <c:v>20.1032258064516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949184"/>
        <c:axId val="269947264"/>
      </c:lineChart>
      <c:dateAx>
        <c:axId val="2699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9928704"/>
        <c:crosses val="autoZero"/>
        <c:auto val="0"/>
        <c:lblAlgn val="ctr"/>
        <c:lblOffset val="100"/>
        <c:baseTimeUnit val="days"/>
      </c:dateAx>
      <c:valAx>
        <c:axId val="2699287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9926784"/>
        <c:crosses val="autoZero"/>
        <c:crossBetween val="between"/>
      </c:valAx>
      <c:dateAx>
        <c:axId val="26994918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9947264"/>
        <c:crosses val="autoZero"/>
        <c:auto val="0"/>
        <c:lblAlgn val="ctr"/>
        <c:lblOffset val="100"/>
        <c:baseTimeUnit val="days"/>
      </c:dateAx>
      <c:valAx>
        <c:axId val="26994726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9949184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0268617647058824"/>
          <c:y val="0.890231439735497"/>
          <c:w val="0.958727450980392"/>
          <c:h val="0.09068229636308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370168350168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'[111]BGA 59_Diagramme'!$L$41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'[111]BGA 59_Diagramme'!$K$42:$K$53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'[111]BGA 59_Diagramme'!$L$42:$L$53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982720"/>
        <c:axId val="269984512"/>
      </c:barChart>
      <c:catAx>
        <c:axId val="26998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9984512"/>
        <c:crosses val="autoZero"/>
        <c:auto val="1"/>
        <c:lblAlgn val="ctr"/>
        <c:lblOffset val="100"/>
        <c:noMultiLvlLbl val="0"/>
      </c:catAx>
      <c:valAx>
        <c:axId val="269984512"/>
        <c:scaling>
          <c:orientation val="minMax"/>
          <c:max val="1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998272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538838981868"/>
          <c:y val="0.0556740803953989"/>
          <c:w val="0.862554726089367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'[111]BGA 59_Diagramme'!$L$23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'[111]BGA 59_Diagramme'!$K$24:$K$35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'[111]BGA 59_Diagramme'!$L$24:$L$35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70140160"/>
        <c:axId val="270141696"/>
      </c:barChart>
      <c:catAx>
        <c:axId val="27014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70141696"/>
        <c:crosses val="autoZero"/>
        <c:auto val="1"/>
        <c:lblAlgn val="ctr"/>
        <c:lblOffset val="100"/>
        <c:noMultiLvlLbl val="0"/>
      </c:catAx>
      <c:valAx>
        <c:axId val="270141696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70140160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75449932562394"/>
          <c:h val="0.7032045887185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'[112]BGA 60_Diagramme'!$K$7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'[112]BGA 60_Diagramme'!$L$4:$W$4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'[112]BGA 60_Diagramme'!$L$7:$W$7</c:f>
              <c:numCache>
                <c:formatCode>General</c:formatCode>
                <c:ptCount val="12"/>
              </c:numCache>
            </c:numRef>
          </c:val>
        </c:ser>
        <c:ser>
          <c:idx val="6"/>
          <c:order val="1"/>
          <c:tx>
            <c:strRef>
              <c:f>'[112]BGA 60_Diagramme'!$K$8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'[112]BGA 60_Diagramme'!$L$4:$W$4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'[112]BGA 60_Diagramme'!$L$8:$W$8</c:f>
              <c:numCache>
                <c:formatCode>General</c:formatCode>
                <c:ptCount val="12"/>
              </c:numCache>
            </c:numRef>
          </c:val>
        </c:ser>
        <c:ser>
          <c:idx val="4"/>
          <c:order val="2"/>
          <c:tx>
            <c:strRef>
              <c:f>'[112]BGA 60_Diagramme'!$K$5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'[112]BGA 60_Diagramme'!$L$4:$W$4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'[112]BGA 60_Diagramme'!$L$5:$W$5</c:f>
              <c:numCache>
                <c:formatCode>General</c:formatCode>
                <c:ptCount val="12"/>
              </c:numCache>
            </c:numRef>
          </c:val>
        </c:ser>
        <c:ser>
          <c:idx val="3"/>
          <c:order val="3"/>
          <c:tx>
            <c:strRef>
              <c:f>'[112]BGA 60_Diagramme'!$K$6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'[112]BGA 60_Diagramme'!$L$4:$W$4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'[112]BGA 60_Diagramme'!$L$6:$W$6</c:f>
              <c:numCache>
                <c:formatCode>General</c:formatCode>
                <c:ptCount val="12"/>
              </c:numCache>
            </c:numRef>
          </c:val>
        </c:ser>
        <c:ser>
          <c:idx val="5"/>
          <c:order val="4"/>
          <c:tx>
            <c:strRef>
              <c:f>'[112]BGA 60_Diagramme'!$K$9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'[112]BGA 60_Diagramme'!$L$4:$W$4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'[112]BGA 60_Diagramme'!$L$9:$W$9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256768"/>
        <c:axId val="268258688"/>
      </c:barChart>
      <c:lineChart>
        <c:grouping val="stacked"/>
        <c:varyColors val="0"/>
        <c:ser>
          <c:idx val="7"/>
          <c:order val="5"/>
          <c:tx>
            <c:strRef>
              <c:f>'[112]BGA 60_Diagramme'!$K$10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strRef>
              <c:f>'[112]BGA 60_Diagramme'!$L$4:$W$4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'[112]BGA 60_Diagramme'!$L$10:$W$10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275072"/>
        <c:axId val="268273152"/>
      </c:lineChart>
      <c:dateAx>
        <c:axId val="26825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258688"/>
        <c:crosses val="autoZero"/>
        <c:auto val="0"/>
        <c:lblAlgn val="ctr"/>
        <c:lblOffset val="100"/>
        <c:baseTimeUnit val="days"/>
      </c:dateAx>
      <c:valAx>
        <c:axId val="26825868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256768"/>
        <c:crosses val="autoZero"/>
        <c:crossBetween val="between"/>
      </c:valAx>
      <c:dateAx>
        <c:axId val="26827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273152"/>
        <c:crosses val="autoZero"/>
        <c:auto val="0"/>
        <c:lblAlgn val="ctr"/>
        <c:lblOffset val="100"/>
        <c:baseTimeUnit val="days"/>
      </c:dateAx>
      <c:valAx>
        <c:axId val="26827315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8275072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00816454248366013"/>
          <c:y val="0.831370854623785"/>
          <c:w val="0.973295098039216"/>
          <c:h val="0.14954288147480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84639935905249"/>
          <c:y val="0.0556740803953989"/>
          <c:w val="0.864629571480711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'[112]BGA 60_Diagramme'!$L$24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'[112]BGA 60_Diagramme'!$K$25:$K$36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'[112]BGA 60_Diagramme'!$L$25:$L$36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9357056"/>
        <c:axId val="269358592"/>
      </c:barChart>
      <c:catAx>
        <c:axId val="26935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9358592"/>
        <c:crosses val="autoZero"/>
        <c:auto val="1"/>
        <c:lblAlgn val="ctr"/>
        <c:lblOffset val="100"/>
        <c:noMultiLvlLbl val="0"/>
      </c:catAx>
      <c:valAx>
        <c:axId val="269358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9357056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9565533275211"/>
          <c:y val="0.0413201755349934"/>
          <c:w val="0.892744115082825"/>
          <c:h val="0.8617235543638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'[112]BGA 60_Diagramme'!$L$40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'[112]BGA 60_Diagramme'!$K$41:$K$52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'[112]BGA 60_Diagramme'!$L$41:$L$52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305920"/>
        <c:axId val="268307456"/>
      </c:barChart>
      <c:catAx>
        <c:axId val="26830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307456"/>
        <c:crosses val="autoZero"/>
        <c:auto val="1"/>
        <c:lblAlgn val="ctr"/>
        <c:lblOffset val="100"/>
        <c:noMultiLvlLbl val="0"/>
      </c:catAx>
      <c:valAx>
        <c:axId val="2683074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Auslastung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830592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10555280982"/>
          <c:y val="0.0611669556776008"/>
          <c:w val="0.763383566027778"/>
          <c:h val="0.744558169934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'[113]Diagramm Kapitel 5'!$D$2</c:f>
              <c:strCache>
                <c:ptCount val="1"/>
                <c:pt idx="0">
                  <c:v>Rindermist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'[113]Diagramm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'[113]Diagramm Kapitel 5'!$D$4:$D$15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1"/>
          <c:tx>
            <c:strRef>
              <c:f>'[113]Diagramm Kapitel 5'!$E$2</c:f>
              <c:strCache>
                <c:ptCount val="1"/>
                <c:pt idx="0">
                  <c:v>Rindergülle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'[113]Diagramm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'[113]Diagramm Kapitel 5'!$E$4:$E$15</c:f>
              <c:numCache>
                <c:formatCode>General</c:formatCode>
                <c:ptCount val="12"/>
                <c:pt idx="0">
                  <c:v>7.48143108803949</c:v>
                </c:pt>
                <c:pt idx="1">
                  <c:v>4.44609156998091</c:v>
                </c:pt>
                <c:pt idx="2">
                  <c:v>4.66843818334264</c:v>
                </c:pt>
                <c:pt idx="3">
                  <c:v>4.44821602144098</c:v>
                </c:pt>
                <c:pt idx="4">
                  <c:v>4.62816432073477</c:v>
                </c:pt>
                <c:pt idx="5">
                  <c:v>4.8611178626637</c:v>
                </c:pt>
                <c:pt idx="6">
                  <c:v>4.88630513683073</c:v>
                </c:pt>
                <c:pt idx="7">
                  <c:v>5.56674884425016</c:v>
                </c:pt>
                <c:pt idx="8">
                  <c:v>6.00694635525623</c:v>
                </c:pt>
                <c:pt idx="9">
                  <c:v>4.94584464970066</c:v>
                </c:pt>
                <c:pt idx="10">
                  <c:v>5.10388211151884</c:v>
                </c:pt>
                <c:pt idx="11">
                  <c:v>5.03526144864147</c:v>
                </c:pt>
              </c:numCache>
            </c:numRef>
          </c:val>
        </c:ser>
        <c:ser>
          <c:idx val="4"/>
          <c:order val="2"/>
          <c:tx>
            <c:strRef>
              <c:f>'[113]Diagramm Kapitel 5'!$F$2</c:f>
              <c:strCache>
                <c:ptCount val="1"/>
                <c:pt idx="0">
                  <c:v>Mais-Ganzpflanzensilage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</c:spPr>
          <c:invertIfNegative val="0"/>
          <c:dLbls>
            <c:delete val="1"/>
          </c:dLbls>
          <c:cat>
            <c:strRef>
              <c:f>'[113]Diagramm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'[113]Diagramm Kapitel 5'!$F$4:$F$15</c:f>
              <c:numCache>
                <c:formatCode>General</c:formatCode>
                <c:ptCount val="12"/>
                <c:pt idx="0">
                  <c:v>55.5111413471763</c:v>
                </c:pt>
                <c:pt idx="1">
                  <c:v>57.3323450580114</c:v>
                </c:pt>
                <c:pt idx="2">
                  <c:v>57.1989370899944</c:v>
                </c:pt>
                <c:pt idx="3">
                  <c:v>57.3310703871354</c:v>
                </c:pt>
                <c:pt idx="4">
                  <c:v>57.2231014075591</c:v>
                </c:pt>
                <c:pt idx="5">
                  <c:v>57.2477548579929</c:v>
                </c:pt>
                <c:pt idx="6">
                  <c:v>57.0682169179016</c:v>
                </c:pt>
                <c:pt idx="7">
                  <c:v>56.6599506934499</c:v>
                </c:pt>
                <c:pt idx="8">
                  <c:v>56.3958321868462</c:v>
                </c:pt>
                <c:pt idx="9">
                  <c:v>57.0324932101796</c:v>
                </c:pt>
                <c:pt idx="10">
                  <c:v>56.9376707330887</c:v>
                </c:pt>
                <c:pt idx="11">
                  <c:v>56.9788431308151</c:v>
                </c:pt>
              </c:numCache>
            </c:numRef>
          </c:val>
        </c:ser>
        <c:ser>
          <c:idx val="3"/>
          <c:order val="3"/>
          <c:tx>
            <c:strRef>
              <c:f>'[113]Diagramm Kapitel 5'!$I$2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delete val="1"/>
          </c:dLbls>
          <c:cat>
            <c:strRef>
              <c:f>'[113]Diagramm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'[113]Diagramm Kapitel 5'!$I$4:$I$15</c:f>
              <c:numCache>
                <c:formatCode>General</c:formatCode>
                <c:ptCount val="12"/>
                <c:pt idx="0">
                  <c:v>13.8777853367941</c:v>
                </c:pt>
                <c:pt idx="1">
                  <c:v>14.3330862645029</c:v>
                </c:pt>
                <c:pt idx="2">
                  <c:v>14.2997342724986</c:v>
                </c:pt>
                <c:pt idx="3">
                  <c:v>14.3327675967839</c:v>
                </c:pt>
                <c:pt idx="4">
                  <c:v>14.3057753518898</c:v>
                </c:pt>
                <c:pt idx="5">
                  <c:v>14.1064067450094</c:v>
                </c:pt>
                <c:pt idx="6">
                  <c:v>14.2670542294754</c:v>
                </c:pt>
                <c:pt idx="7">
                  <c:v>14.1649876733625</c:v>
                </c:pt>
                <c:pt idx="8">
                  <c:v>14.0989580467116</c:v>
                </c:pt>
                <c:pt idx="9">
                  <c:v>14.2581233025449</c:v>
                </c:pt>
                <c:pt idx="10">
                  <c:v>14.2344176832722</c:v>
                </c:pt>
                <c:pt idx="11">
                  <c:v>14.2447107827038</c:v>
                </c:pt>
              </c:numCache>
            </c:numRef>
          </c:val>
        </c:ser>
        <c:ser>
          <c:idx val="2"/>
          <c:order val="4"/>
          <c:tx>
            <c:strRef>
              <c:f>'[113]Diagramm Kapitel 5'!$H$2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'[113]Diagramm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'[113]Diagramm Kapitel 5'!$H$4:$H$15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'[114]BGA 61_Diagramme'!$F$2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dLbls>
            <c:delete val="1"/>
          </c:dLbls>
          <c:cat>
            <c:strRef>
              <c:f>'[113]Diagramm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'[113]Diagramm Kapitel 5'!$J$4:$J$15</c:f>
              <c:numCache>
                <c:formatCode>General</c:formatCode>
                <c:ptCount val="12"/>
                <c:pt idx="0">
                  <c:v>23.1296422279901</c:v>
                </c:pt>
                <c:pt idx="1">
                  <c:v>23.8884771075048</c:v>
                </c:pt>
                <c:pt idx="2">
                  <c:v>23.8328904541643</c:v>
                </c:pt>
                <c:pt idx="3">
                  <c:v>23.8879459946398</c:v>
                </c:pt>
                <c:pt idx="4">
                  <c:v>23.8429589198163</c:v>
                </c:pt>
                <c:pt idx="5">
                  <c:v>23.7847205343341</c:v>
                </c:pt>
                <c:pt idx="6">
                  <c:v>23.7784237157923</c:v>
                </c:pt>
                <c:pt idx="7">
                  <c:v>23.6083127889375</c:v>
                </c:pt>
                <c:pt idx="8">
                  <c:v>23.4982634111859</c:v>
                </c:pt>
                <c:pt idx="9">
                  <c:v>23.7635388375748</c:v>
                </c:pt>
                <c:pt idx="10">
                  <c:v>23.7240294721203</c:v>
                </c:pt>
                <c:pt idx="11">
                  <c:v>23.7411846378396</c:v>
                </c:pt>
              </c:numCache>
            </c:numRef>
          </c:val>
        </c:ser>
        <c:ser>
          <c:idx val="1"/>
          <c:order val="6"/>
          <c:tx>
            <c:strRef>
              <c:f>'[113]Diagramm Kapitel 5'!$G$2</c:f>
              <c:strCache>
                <c:ptCount val="1"/>
                <c:pt idx="0">
                  <c:v>Hafer Getreide und Getreidekorn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cat>
            <c:strRef>
              <c:f>'[113]Diagramm Kapitel 5'!$C$4:$C$15</c:f>
              <c:strCache>
                <c:ptCount val="12"/>
                <c:pt idx="0">
                  <c:v>Sep</c:v>
                </c:pt>
                <c:pt idx="1">
                  <c:v>Okt</c:v>
                </c:pt>
                <c:pt idx="2">
                  <c:v>Nov</c:v>
                </c:pt>
                <c:pt idx="3">
                  <c:v>Dez</c:v>
                </c:pt>
                <c:pt idx="4">
                  <c:v>Jan</c:v>
                </c:pt>
                <c:pt idx="5">
                  <c:v>Feb</c:v>
                </c:pt>
                <c:pt idx="6">
                  <c:v>Mrz</c:v>
                </c:pt>
                <c:pt idx="7">
                  <c:v>Apr</c:v>
                </c:pt>
                <c:pt idx="8">
                  <c:v>Mai</c:v>
                </c:pt>
                <c:pt idx="9">
                  <c:v>Jun</c:v>
                </c:pt>
                <c:pt idx="10">
                  <c:v>Jul</c:v>
                </c:pt>
                <c:pt idx="11">
                  <c:v>Aug</c:v>
                </c:pt>
              </c:strCache>
            </c:strRef>
          </c:cat>
          <c:val>
            <c:numRef>
              <c:f>'[113]Diagramm Kapitel 5'!$G$4:$G$15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9205504"/>
        <c:axId val="269207424"/>
      </c:barChart>
      <c:barChart>
        <c:barDir val="col"/>
        <c:grouping val="stacked"/>
        <c:varyColors val="0"/>
        <c:ser>
          <c:idx val="8"/>
          <c:order val="8"/>
          <c:tx>
            <c:strRef>
              <c:f>'[113]Diagramm Kapitel 5'!$P$2</c:f>
              <c:strCache>
                <c:ptCount val="1"/>
                <c:pt idx="0">
                  <c:v>Putenmist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  <c:invertIfNegative val="0"/>
          <c:dLbls>
            <c:delete val="1"/>
          </c:dLbls>
          <c:val>
            <c:numRef>
              <c:f>'[113]Diagramm Kapitel 5'!$P$4:$P$15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9"/>
          <c:tx>
            <c:strRef>
              <c:f>'[113]Diagramm Kapitel 5'!$Q$2</c:f>
              <c:strCache>
                <c:ptCount val="1"/>
                <c:pt idx="0">
                  <c:v>Weizenkleie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invertIfNegative val="0"/>
          <c:dLbls>
            <c:delete val="1"/>
          </c:dLbls>
          <c:val>
            <c:numRef>
              <c:f>'[113]Diagramm Kapitel 5'!$Q$4:$Q$15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9215616"/>
        <c:axId val="269213696"/>
      </c:barChart>
      <c:lineChart>
        <c:grouping val="stacked"/>
        <c:varyColors val="0"/>
        <c:ser>
          <c:idx val="7"/>
          <c:order val="7"/>
          <c:tx>
            <c:strRef>
              <c:f>"Fütterungsmenge"</c:f>
              <c:strCache>
                <c:ptCount val="1"/>
                <c:pt idx="0">
                  <c:v>Fütterungsmenge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tx1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val>
            <c:numRef>
              <c:f>'[113]Diagramm Kapitel 5'!$Z$4:$Z$15</c:f>
              <c:numCache>
                <c:formatCode>General</c:formatCode>
                <c:ptCount val="12"/>
                <c:pt idx="0">
                  <c:v>66.8321333333333</c:v>
                </c:pt>
                <c:pt idx="1">
                  <c:v>112.458322580645</c:v>
                </c:pt>
                <c:pt idx="2">
                  <c:v>107.1022</c:v>
                </c:pt>
                <c:pt idx="3">
                  <c:v>112.404612903226</c:v>
                </c:pt>
                <c:pt idx="4">
                  <c:v>108.034193548387</c:v>
                </c:pt>
                <c:pt idx="5">
                  <c:v>102.857</c:v>
                </c:pt>
                <c:pt idx="6">
                  <c:v>102.326806451613</c:v>
                </c:pt>
                <c:pt idx="7">
                  <c:v>89.8190333333334</c:v>
                </c:pt>
                <c:pt idx="8">
                  <c:v>83.2369677419355</c:v>
                </c:pt>
                <c:pt idx="9">
                  <c:v>101.094966666667</c:v>
                </c:pt>
                <c:pt idx="10">
                  <c:v>97.9646451612903</c:v>
                </c:pt>
                <c:pt idx="11">
                  <c:v>99.2997096774193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215616"/>
        <c:axId val="269213696"/>
      </c:lineChart>
      <c:dateAx>
        <c:axId val="26920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9207424"/>
        <c:crosses val="autoZero"/>
        <c:auto val="0"/>
        <c:lblAlgn val="ctr"/>
        <c:lblOffset val="100"/>
        <c:baseTimeUnit val="days"/>
      </c:dateAx>
      <c:valAx>
        <c:axId val="2692074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 an Frischmasseeintrag [%]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9205504"/>
        <c:crosses val="autoZero"/>
        <c:crossBetween val="between"/>
      </c:valAx>
      <c:catAx>
        <c:axId val="26921561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9213696"/>
        <c:crosses val="autoZero"/>
        <c:auto val="1"/>
        <c:lblAlgn val="ctr"/>
        <c:lblOffset val="100"/>
        <c:noMultiLvlLbl val="0"/>
      </c:catAx>
      <c:valAx>
        <c:axId val="26921369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Mittlerer täglicher Frischmasseeintrag [t/d]</a:t>
                </a:r>
                <a:endParaRPr lang="de-DE"/>
              </a:p>
              <a:p>
                <a:pPr algn="ctr" rtl="0">
                  <a:defRPr lang="zh-CN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rich>
          </c:tx>
          <c:layout>
            <c:manualLayout>
              <c:xMode val="edge"/>
              <c:yMode val="edge"/>
              <c:x val="0.94311977124183"/>
              <c:y val="0.065931699346405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9215616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0138915032679739"/>
          <c:y val="0.864912812264263"/>
          <c:w val="0.986108482921111"/>
          <c:h val="0.1350871877357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200"/>
      </a:pPr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362138286648"/>
          <c:y val="0.0556740803953989"/>
          <c:w val="0.839731426784588"/>
          <c:h val="0.784276494746387"/>
        </c:manualLayout>
      </c:layout>
      <c:barChart>
        <c:barDir val="col"/>
        <c:grouping val="clustered"/>
        <c:varyColors val="0"/>
        <c:ser>
          <c:idx val="5"/>
          <c:order val="0"/>
          <c:tx>
            <c:strRef>
              <c:f>'[113]Diagramm Kapitel 5'!$E$25</c:f>
              <c:strCache>
                <c:ptCount val="1"/>
                <c:pt idx="0">
                  <c:v>Fermenter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'[114]BGA 61_Diagramme'!$B$29:$B$40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'[113]Diagramm Kapitel 5'!$E$28:$E$39</c:f>
              <c:numCache>
                <c:formatCode>General</c:formatCode>
                <c:ptCount val="12"/>
                <c:pt idx="0">
                  <c:v>0.270564299474739</c:v>
                </c:pt>
                <c:pt idx="1">
                  <c:v>0.259214668516008</c:v>
                </c:pt>
                <c:pt idx="2">
                  <c:v>0.295183313871854</c:v>
                </c:pt>
                <c:pt idx="3">
                  <c:v>0.257658574889126</c:v>
                </c:pt>
                <c:pt idx="4">
                  <c:v>0.263677615444312</c:v>
                </c:pt>
                <c:pt idx="5">
                  <c:v>0.25604599924053</c:v>
                </c:pt>
                <c:pt idx="6">
                  <c:v>0.249979567504861</c:v>
                </c:pt>
                <c:pt idx="7">
                  <c:v>0.237529289651609</c:v>
                </c:pt>
                <c:pt idx="8">
                  <c:v>0.233076837544223</c:v>
                </c:pt>
                <c:pt idx="9">
                  <c:v>0.3713382398767</c:v>
                </c:pt>
                <c:pt idx="10">
                  <c:v>0.388687166268928</c:v>
                </c:pt>
                <c:pt idx="11">
                  <c:v>0.364711626516032</c:v>
                </c:pt>
              </c:numCache>
            </c:numRef>
          </c:val>
        </c:ser>
        <c:ser>
          <c:idx val="0"/>
          <c:order val="1"/>
          <c:tx>
            <c:strRef>
              <c:f>'[113]Diagramm Kapitel 5'!$F$25</c:f>
              <c:strCache>
                <c:ptCount val="1"/>
                <c:pt idx="0">
                  <c:v>Fermenter 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'[114]BGA 61_Diagramme'!$B$29:$B$40</c:f>
              <c:strCache>
                <c:ptCount val="12"/>
                <c:pt idx="0">
                  <c:v>#REF!</c:v>
                </c:pt>
                <c:pt idx="1">
                  <c:v>#REF!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  <c:pt idx="5">
                  <c:v>#REF!</c:v>
                </c:pt>
                <c:pt idx="6">
                  <c:v>#REF!</c:v>
                </c:pt>
                <c:pt idx="7">
                  <c:v>#REF!</c:v>
                </c:pt>
                <c:pt idx="8">
                  <c:v>#REF!</c:v>
                </c:pt>
                <c:pt idx="9">
                  <c:v>#REF!</c:v>
                </c:pt>
                <c:pt idx="10">
                  <c:v>#REF!</c:v>
                </c:pt>
                <c:pt idx="11">
                  <c:v>#REF!</c:v>
                </c:pt>
              </c:strCache>
            </c:strRef>
          </c:cat>
          <c:val>
            <c:numRef>
              <c:f>'[113]Diagramm Kapitel 5'!$F$28:$F$39</c:f>
              <c:numCache>
                <c:formatCode>General</c:formatCode>
                <c:ptCount val="12"/>
                <c:pt idx="0">
                  <c:v>0.257679754706287</c:v>
                </c:pt>
                <c:pt idx="1">
                  <c:v>0.214967120013002</c:v>
                </c:pt>
                <c:pt idx="2">
                  <c:v>0.237921594010686</c:v>
                </c:pt>
                <c:pt idx="3">
                  <c:v>0.205850909357863</c:v>
                </c:pt>
                <c:pt idx="4">
                  <c:v>0.23300639265503</c:v>
                </c:pt>
                <c:pt idx="5">
                  <c:v>0.276941112786088</c:v>
                </c:pt>
                <c:pt idx="6">
                  <c:v>0.214514853912859</c:v>
                </c:pt>
                <c:pt idx="7">
                  <c:v>0.215250039268906</c:v>
                </c:pt>
                <c:pt idx="8">
                  <c:v>0.233334827375463</c:v>
                </c:pt>
                <c:pt idx="9">
                  <c:v>0.247636756564102</c:v>
                </c:pt>
                <c:pt idx="10">
                  <c:v>0.33178358034383</c:v>
                </c:pt>
                <c:pt idx="11">
                  <c:v>0.307044373526718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50"/>
        <c:axId val="269325824"/>
        <c:axId val="269327360"/>
      </c:barChart>
      <c:catAx>
        <c:axId val="26932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9327360"/>
        <c:crosses val="autoZero"/>
        <c:auto val="1"/>
        <c:lblAlgn val="ctr"/>
        <c:lblOffset val="100"/>
        <c:noMultiLvlLbl val="0"/>
      </c:catAx>
      <c:valAx>
        <c:axId val="269327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FOS/TAC [-]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69325824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403880745075346"/>
          <c:y val="0.0812843351645421"/>
          <c:w val="0.53251315402966"/>
          <c:h val="0.076204597578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200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8.xml"/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.xml"/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7.xml.rels><?xml version="1.0" encoding="UTF-8" standalone="yes"?>
<Relationships xmlns="http://schemas.openxmlformats.org/package/2006/relationships"><Relationship Id="rId5" Type="http://schemas.openxmlformats.org/officeDocument/2006/relationships/chart" Target="../charts/chart40.xml"/><Relationship Id="rId4" Type="http://schemas.openxmlformats.org/officeDocument/2006/relationships/chart" Target="../charts/chart39.xml"/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5" Type="http://schemas.openxmlformats.org/officeDocument/2006/relationships/chart" Target="../charts/chart45.xml"/><Relationship Id="rId4" Type="http://schemas.openxmlformats.org/officeDocument/2006/relationships/chart" Target="../charts/chart44.xml"/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0.xml"/><Relationship Id="rId4" Type="http://schemas.openxmlformats.org/officeDocument/2006/relationships/chart" Target="../charts/chart49.xml"/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2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png"/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6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9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93.xml"/><Relationship Id="rId3" Type="http://schemas.openxmlformats.org/officeDocument/2006/relationships/chart" Target="../charts/chart92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6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2.xml"/><Relationship Id="rId2" Type="http://schemas.openxmlformats.org/officeDocument/2006/relationships/chart" Target="../charts/chart121.xml"/><Relationship Id="rId1" Type="http://schemas.openxmlformats.org/officeDocument/2006/relationships/chart" Target="../charts/chart120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5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6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129.xml"/><Relationship Id="rId3" Type="http://schemas.openxmlformats.org/officeDocument/2006/relationships/chart" Target="../charts/chart128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/Relationships>
</file>

<file path=xl/drawings/_rels/drawing63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png"/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6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136.xml"/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9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/Relationships>
</file>

<file path=xl/drawings/_rels/drawing69.xml.rels><?xml version="1.0" encoding="UTF-8" standalone="yes"?>
<Relationships xmlns="http://schemas.openxmlformats.org/package/2006/relationships"><Relationship Id="rId4" Type="http://schemas.openxmlformats.org/officeDocument/2006/relationships/chart" Target="../charts/chart143.xml"/><Relationship Id="rId3" Type="http://schemas.openxmlformats.org/officeDocument/2006/relationships/chart" Target="../charts/chart142.xml"/><Relationship Id="rId2" Type="http://schemas.openxmlformats.org/officeDocument/2006/relationships/chart" Target="../charts/chart141.xml"/><Relationship Id="rId1" Type="http://schemas.openxmlformats.org/officeDocument/2006/relationships/chart" Target="../charts/chart140.xml"/></Relationships>
</file>

<file path=xl/drawings/_rels/drawing7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147.xml"/><Relationship Id="rId3" Type="http://schemas.openxmlformats.org/officeDocument/2006/relationships/chart" Target="../charts/chart146.xml"/><Relationship Id="rId2" Type="http://schemas.openxmlformats.org/officeDocument/2006/relationships/chart" Target="../charts/chart145.xml"/><Relationship Id="rId1" Type="http://schemas.openxmlformats.org/officeDocument/2006/relationships/chart" Target="../charts/chart14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3.xml"/><Relationship Id="rId2" Type="http://schemas.openxmlformats.org/officeDocument/2006/relationships/chart" Target="../charts/chart172.xml"/><Relationship Id="rId1" Type="http://schemas.openxmlformats.org/officeDocument/2006/relationships/chart" Target="../charts/chart171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6.xml"/><Relationship Id="rId2" Type="http://schemas.openxmlformats.org/officeDocument/2006/relationships/chart" Target="../charts/chart175.xml"/><Relationship Id="rId1" Type="http://schemas.openxmlformats.org/officeDocument/2006/relationships/chart" Target="../charts/chart174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9.xml"/><Relationship Id="rId2" Type="http://schemas.openxmlformats.org/officeDocument/2006/relationships/chart" Target="../charts/chart178.xml"/><Relationship Id="rId1" Type="http://schemas.openxmlformats.org/officeDocument/2006/relationships/chart" Target="../charts/chart177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2.xml"/><Relationship Id="rId2" Type="http://schemas.openxmlformats.org/officeDocument/2006/relationships/chart" Target="../charts/chart181.xml"/><Relationship Id="rId1" Type="http://schemas.openxmlformats.org/officeDocument/2006/relationships/chart" Target="../charts/chart1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5.xml"/><Relationship Id="rId2" Type="http://schemas.openxmlformats.org/officeDocument/2006/relationships/chart" Target="../charts/chart184.xml"/><Relationship Id="rId1" Type="http://schemas.openxmlformats.org/officeDocument/2006/relationships/chart" Target="../charts/chart183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8.xml"/><Relationship Id="rId2" Type="http://schemas.openxmlformats.org/officeDocument/2006/relationships/chart" Target="../charts/chart187.xml"/><Relationship Id="rId1" Type="http://schemas.openxmlformats.org/officeDocument/2006/relationships/chart" Target="../charts/chart186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1.xml"/><Relationship Id="rId2" Type="http://schemas.openxmlformats.org/officeDocument/2006/relationships/chart" Target="../charts/chart190.xml"/><Relationship Id="rId1" Type="http://schemas.openxmlformats.org/officeDocument/2006/relationships/chart" Target="../charts/chart189.xml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3.xml"/><Relationship Id="rId1" Type="http://schemas.openxmlformats.org/officeDocument/2006/relationships/chart" Target="../charts/chart19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30</xdr:col>
      <xdr:colOff>264089</xdr:colOff>
      <xdr:row>0</xdr:row>
      <xdr:rowOff>0</xdr:rowOff>
    </xdr:from>
    <xdr:to>
      <xdr:col>38</xdr:col>
      <xdr:colOff>699066</xdr:colOff>
      <xdr:row>23</xdr:row>
      <xdr:rowOff>113260</xdr:rowOff>
    </xdr:to>
    <xdr:grpSp>
      <xdr:nvGrpSpPr>
        <xdr:cNvPr id="2" name="Gruppieren 1"/>
        <xdr:cNvGrpSpPr/>
      </xdr:nvGrpSpPr>
      <xdr:grpSpPr>
        <a:xfrm>
          <a:off x="24952325" y="0"/>
          <a:ext cx="6510655" cy="4984115"/>
          <a:chOff x="8856849" y="585970"/>
          <a:chExt cx="6881667" cy="4878485"/>
        </a:xfrm>
      </xdr:grpSpPr>
      <xdr:graphicFrame>
        <xdr:nvGraphicFramePr>
          <xdr:cNvPr id="3" name="Diagramm 2"/>
          <xdr:cNvGraphicFramePr/>
        </xdr:nvGraphicFramePr>
        <xdr:xfrm>
          <a:off x="8856849" y="1120914"/>
          <a:ext cx="6881667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568983" y="585970"/>
            <a:ext cx="1759193" cy="3033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26</xdr:row>
      <xdr:rowOff>26094</xdr:rowOff>
    </xdr:from>
    <xdr:to>
      <xdr:col>14</xdr:col>
      <xdr:colOff>469891</xdr:colOff>
      <xdr:row>41</xdr:row>
      <xdr:rowOff>139271</xdr:rowOff>
    </xdr:to>
    <xdr:graphicFrame>
      <xdr:nvGraphicFramePr>
        <xdr:cNvPr id="5" name="Diagramm 4"/>
        <xdr:cNvGraphicFramePr/>
      </xdr:nvGraphicFramePr>
      <xdr:xfrm>
        <a:off x="5311140" y="5539740"/>
        <a:ext cx="6033770" cy="33134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18</xdr:col>
      <xdr:colOff>158310</xdr:colOff>
      <xdr:row>62</xdr:row>
      <xdr:rowOff>98182</xdr:rowOff>
    </xdr:to>
    <xdr:graphicFrame>
      <xdr:nvGraphicFramePr>
        <xdr:cNvPr id="6" name="Diagramm 5"/>
        <xdr:cNvGraphicFramePr/>
      </xdr:nvGraphicFramePr>
      <xdr:xfrm>
        <a:off x="7618730" y="10847705"/>
        <a:ext cx="6892925" cy="33000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24</xdr:col>
      <xdr:colOff>268571</xdr:colOff>
      <xdr:row>3</xdr:row>
      <xdr:rowOff>173878</xdr:rowOff>
    </xdr:from>
    <xdr:to>
      <xdr:col>32</xdr:col>
      <xdr:colOff>292571</xdr:colOff>
      <xdr:row>24</xdr:row>
      <xdr:rowOff>154573</xdr:rowOff>
    </xdr:to>
    <xdr:grpSp>
      <xdr:nvGrpSpPr>
        <xdr:cNvPr id="2" name="Gruppieren 1"/>
        <xdr:cNvGrpSpPr/>
      </xdr:nvGrpSpPr>
      <xdr:grpSpPr>
        <a:xfrm>
          <a:off x="19540220" y="790575"/>
          <a:ext cx="6099810" cy="4448175"/>
          <a:chOff x="9539738" y="-528531"/>
          <a:chExt cx="6881667" cy="4343541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881667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581194" y="549570"/>
            <a:ext cx="1815268" cy="3057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>
                <a:solidFill>
                  <a:sysClr val="windowText" lastClr="000000"/>
                </a:solidFill>
              </a:rPr>
              <a:t>Fütterungsmenge [t/d]</a:t>
            </a:r>
            <a:endParaRPr lang="de-DE" sz="12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469891</xdr:colOff>
      <xdr:row>39</xdr:row>
      <xdr:rowOff>82564</xdr:rowOff>
    </xdr:to>
    <xdr:graphicFrame>
      <xdr:nvGraphicFramePr>
        <xdr:cNvPr id="5" name="Diagramm 4"/>
        <xdr:cNvGraphicFramePr/>
      </xdr:nvGraphicFramePr>
      <xdr:xfrm>
        <a:off x="6059170" y="5031105"/>
        <a:ext cx="6087745" cy="3338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18</xdr:col>
      <xdr:colOff>158310</xdr:colOff>
      <xdr:row>62</xdr:row>
      <xdr:rowOff>116182</xdr:rowOff>
    </xdr:to>
    <xdr:graphicFrame>
      <xdr:nvGraphicFramePr>
        <xdr:cNvPr id="6" name="Diagramm 5"/>
        <xdr:cNvGraphicFramePr/>
      </xdr:nvGraphicFramePr>
      <xdr:xfrm>
        <a:off x="8773795" y="10847705"/>
        <a:ext cx="6099810" cy="3317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79866</xdr:rowOff>
    </xdr:to>
    <xdr:grpSp>
      <xdr:nvGrpSpPr>
        <xdr:cNvPr id="2" name="Gruppieren 1"/>
        <xdr:cNvGrpSpPr/>
      </xdr:nvGrpSpPr>
      <xdr:grpSpPr>
        <a:xfrm>
          <a:off x="21029295" y="312420"/>
          <a:ext cx="6099810" cy="4424680"/>
          <a:chOff x="9539738" y="-528531"/>
          <a:chExt cx="6881667" cy="4343541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881667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2975201" y="437795"/>
            <a:ext cx="1815268" cy="3048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469891</xdr:colOff>
      <xdr:row>39</xdr:row>
      <xdr:rowOff>64564</xdr:rowOff>
    </xdr:to>
    <xdr:graphicFrame>
      <xdr:nvGraphicFramePr>
        <xdr:cNvPr id="5" name="Diagramm 4"/>
        <xdr:cNvGraphicFramePr/>
      </xdr:nvGraphicFramePr>
      <xdr:xfrm>
        <a:off x="6059170" y="5031105"/>
        <a:ext cx="6087745" cy="332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18</xdr:col>
      <xdr:colOff>158310</xdr:colOff>
      <xdr:row>62</xdr:row>
      <xdr:rowOff>134182</xdr:rowOff>
    </xdr:to>
    <xdr:graphicFrame>
      <xdr:nvGraphicFramePr>
        <xdr:cNvPr id="6" name="Diagramm 5"/>
        <xdr:cNvGraphicFramePr/>
      </xdr:nvGraphicFramePr>
      <xdr:xfrm>
        <a:off x="8773795" y="10847705"/>
        <a:ext cx="6099810" cy="3336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292477</xdr:colOff>
      <xdr:row>1</xdr:row>
      <xdr:rowOff>81242</xdr:rowOff>
    </xdr:from>
    <xdr:to>
      <xdr:col>34</xdr:col>
      <xdr:colOff>316477</xdr:colOff>
      <xdr:row>22</xdr:row>
      <xdr:rowOff>65536</xdr:rowOff>
    </xdr:to>
    <xdr:grpSp>
      <xdr:nvGrpSpPr>
        <xdr:cNvPr id="2" name="Gruppieren 1"/>
        <xdr:cNvGrpSpPr/>
      </xdr:nvGrpSpPr>
      <xdr:grpSpPr>
        <a:xfrm>
          <a:off x="21083270" y="294005"/>
          <a:ext cx="6099810" cy="4429125"/>
          <a:chOff x="9596421" y="-549069"/>
          <a:chExt cx="6881667" cy="4343541"/>
        </a:xfrm>
      </xdr:grpSpPr>
      <xdr:graphicFrame>
        <xdr:nvGraphicFramePr>
          <xdr:cNvPr id="3" name="Diagramm 2"/>
          <xdr:cNvGraphicFramePr/>
        </xdr:nvGraphicFramePr>
        <xdr:xfrm>
          <a:off x="9596421" y="-549069"/>
          <a:ext cx="6881667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752151" y="398468"/>
            <a:ext cx="1759193" cy="2822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469891</xdr:colOff>
      <xdr:row>39</xdr:row>
      <xdr:rowOff>64564</xdr:rowOff>
    </xdr:to>
    <xdr:graphicFrame>
      <xdr:nvGraphicFramePr>
        <xdr:cNvPr id="5" name="Diagramm 4"/>
        <xdr:cNvGraphicFramePr/>
      </xdr:nvGraphicFramePr>
      <xdr:xfrm>
        <a:off x="6059170" y="5031105"/>
        <a:ext cx="6087745" cy="332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18</xdr:col>
      <xdr:colOff>158310</xdr:colOff>
      <xdr:row>62</xdr:row>
      <xdr:rowOff>116182</xdr:rowOff>
    </xdr:to>
    <xdr:graphicFrame>
      <xdr:nvGraphicFramePr>
        <xdr:cNvPr id="6" name="Diagramm 5"/>
        <xdr:cNvGraphicFramePr/>
      </xdr:nvGraphicFramePr>
      <xdr:xfrm>
        <a:off x="8773795" y="10847705"/>
        <a:ext cx="6099810" cy="3317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99172</xdr:rowOff>
    </xdr:to>
    <xdr:grpSp>
      <xdr:nvGrpSpPr>
        <xdr:cNvPr id="2" name="Gruppieren 1"/>
        <xdr:cNvGrpSpPr/>
      </xdr:nvGrpSpPr>
      <xdr:grpSpPr>
        <a:xfrm>
          <a:off x="21106130" y="312420"/>
          <a:ext cx="6099810" cy="4444365"/>
          <a:chOff x="9539738" y="-528531"/>
          <a:chExt cx="6881667" cy="4343541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881667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813208" y="537438"/>
            <a:ext cx="1759193" cy="3033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387150</xdr:colOff>
      <xdr:row>39</xdr:row>
      <xdr:rowOff>82564</xdr:rowOff>
    </xdr:to>
    <xdr:graphicFrame>
      <xdr:nvGraphicFramePr>
        <xdr:cNvPr id="5" name="Diagramm 4"/>
        <xdr:cNvGraphicFramePr/>
      </xdr:nvGraphicFramePr>
      <xdr:xfrm>
        <a:off x="6059170" y="5031105"/>
        <a:ext cx="6082030" cy="3338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18</xdr:col>
      <xdr:colOff>158310</xdr:colOff>
      <xdr:row>62</xdr:row>
      <xdr:rowOff>116182</xdr:rowOff>
    </xdr:to>
    <xdr:graphicFrame>
      <xdr:nvGraphicFramePr>
        <xdr:cNvPr id="6" name="Diagramm 5"/>
        <xdr:cNvGraphicFramePr/>
      </xdr:nvGraphicFramePr>
      <xdr:xfrm>
        <a:off x="8850630" y="10847705"/>
        <a:ext cx="6099810" cy="3317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457766</xdr:colOff>
      <xdr:row>22</xdr:row>
      <xdr:rowOff>99172</xdr:rowOff>
    </xdr:to>
    <xdr:grpSp>
      <xdr:nvGrpSpPr>
        <xdr:cNvPr id="2" name="Gruppieren 1"/>
        <xdr:cNvGrpSpPr/>
      </xdr:nvGrpSpPr>
      <xdr:grpSpPr>
        <a:xfrm>
          <a:off x="21029295" y="312420"/>
          <a:ext cx="6294755" cy="4444365"/>
          <a:chOff x="9539738" y="-528531"/>
          <a:chExt cx="6881667" cy="4343541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881667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617827" y="974219"/>
            <a:ext cx="1759193" cy="3033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469891</xdr:colOff>
      <xdr:row>38</xdr:row>
      <xdr:rowOff>115414</xdr:rowOff>
    </xdr:to>
    <xdr:graphicFrame>
      <xdr:nvGraphicFramePr>
        <xdr:cNvPr id="5" name="Diagramm 4"/>
        <xdr:cNvGraphicFramePr/>
      </xdr:nvGraphicFramePr>
      <xdr:xfrm>
        <a:off x="6059170" y="5031105"/>
        <a:ext cx="6087745" cy="31578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19</xdr:col>
      <xdr:colOff>158310</xdr:colOff>
      <xdr:row>63</xdr:row>
      <xdr:rowOff>368107</xdr:rowOff>
    </xdr:to>
    <xdr:graphicFrame>
      <xdr:nvGraphicFramePr>
        <xdr:cNvPr id="6" name="Diagramm 5"/>
        <xdr:cNvGraphicFramePr/>
      </xdr:nvGraphicFramePr>
      <xdr:xfrm>
        <a:off x="8773795" y="10847705"/>
        <a:ext cx="6859270" cy="3783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99172</xdr:rowOff>
    </xdr:to>
    <xdr:graphicFrame>
      <xdr:nvGraphicFramePr>
        <xdr:cNvPr id="3" name="Diagramm 2"/>
        <xdr:cNvGraphicFramePr/>
      </xdr:nvGraphicFramePr>
      <xdr:xfrm>
        <a:off x="21029295" y="312420"/>
        <a:ext cx="6099810" cy="4444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469891</xdr:colOff>
      <xdr:row>39</xdr:row>
      <xdr:rowOff>100564</xdr:rowOff>
    </xdr:to>
    <xdr:graphicFrame>
      <xdr:nvGraphicFramePr>
        <xdr:cNvPr id="5" name="Diagramm 4"/>
        <xdr:cNvGraphicFramePr/>
      </xdr:nvGraphicFramePr>
      <xdr:xfrm>
        <a:off x="6059170" y="5031105"/>
        <a:ext cx="6087745" cy="3356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19</xdr:col>
      <xdr:colOff>158310</xdr:colOff>
      <xdr:row>63</xdr:row>
      <xdr:rowOff>368107</xdr:rowOff>
    </xdr:to>
    <xdr:graphicFrame>
      <xdr:nvGraphicFramePr>
        <xdr:cNvPr id="6" name="Diagramm 5"/>
        <xdr:cNvGraphicFramePr/>
      </xdr:nvGraphicFramePr>
      <xdr:xfrm>
        <a:off x="8773795" y="10847705"/>
        <a:ext cx="6859270" cy="3783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0.60238</cdr:x>
      <cdr:y>0.20261</cdr:y>
    </cdr:from>
    <cdr:to>
      <cdr:x>0.8272</cdr:x>
      <cdr:y>0.28393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686548" y="812800"/>
          <a:ext cx="1375889" cy="326247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83466</xdr:rowOff>
    </xdr:to>
    <xdr:graphicFrame>
      <xdr:nvGraphicFramePr>
        <xdr:cNvPr id="3" name="Diagramm 2"/>
        <xdr:cNvGraphicFramePr/>
      </xdr:nvGraphicFramePr>
      <xdr:xfrm>
        <a:off x="21106130" y="312420"/>
        <a:ext cx="6099810" cy="4428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469891</xdr:colOff>
      <xdr:row>38</xdr:row>
      <xdr:rowOff>115414</xdr:rowOff>
    </xdr:to>
    <xdr:graphicFrame>
      <xdr:nvGraphicFramePr>
        <xdr:cNvPr id="5" name="Diagramm 4"/>
        <xdr:cNvGraphicFramePr/>
      </xdr:nvGraphicFramePr>
      <xdr:xfrm>
        <a:off x="6059170" y="5031105"/>
        <a:ext cx="6164580" cy="31578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19</xdr:col>
      <xdr:colOff>158310</xdr:colOff>
      <xdr:row>63</xdr:row>
      <xdr:rowOff>368107</xdr:rowOff>
    </xdr:to>
    <xdr:graphicFrame>
      <xdr:nvGraphicFramePr>
        <xdr:cNvPr id="6" name="Diagramm 5"/>
        <xdr:cNvGraphicFramePr/>
      </xdr:nvGraphicFramePr>
      <xdr:xfrm>
        <a:off x="8850630" y="10847705"/>
        <a:ext cx="6859270" cy="3783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0.59789</cdr:x>
      <cdr:y>0.12488</cdr:y>
    </cdr:from>
    <cdr:to>
      <cdr:x>0.86167</cdr:x>
      <cdr:y>0.19501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659094" y="499036"/>
          <a:ext cx="1614353" cy="280205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758834</xdr:colOff>
      <xdr:row>1</xdr:row>
      <xdr:rowOff>20782</xdr:rowOff>
    </xdr:from>
    <xdr:to>
      <xdr:col>20</xdr:col>
      <xdr:colOff>20834</xdr:colOff>
      <xdr:row>22</xdr:row>
      <xdr:rowOff>16282</xdr:rowOff>
    </xdr:to>
    <xdr:graphicFrame>
      <xdr:nvGraphicFramePr>
        <xdr:cNvPr id="2" name="Diagramm 1"/>
        <xdr:cNvGraphicFramePr/>
      </xdr:nvGraphicFramePr>
      <xdr:xfrm>
        <a:off x="9949180" y="233680"/>
        <a:ext cx="6096635" cy="447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830543</xdr:colOff>
      <xdr:row>3</xdr:row>
      <xdr:rowOff>69270</xdr:rowOff>
    </xdr:from>
    <xdr:to>
      <xdr:col>32</xdr:col>
      <xdr:colOff>328836</xdr:colOff>
      <xdr:row>29</xdr:row>
      <xdr:rowOff>81397</xdr:rowOff>
    </xdr:to>
    <xdr:graphicFrame>
      <xdr:nvGraphicFramePr>
        <xdr:cNvPr id="3" name="Diagramm 2"/>
        <xdr:cNvGraphicFramePr/>
      </xdr:nvGraphicFramePr>
      <xdr:xfrm>
        <a:off x="18303875" y="709295"/>
        <a:ext cx="7163435" cy="5777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54</xdr:row>
      <xdr:rowOff>41565</xdr:rowOff>
    </xdr:from>
    <xdr:to>
      <xdr:col>22</xdr:col>
      <xdr:colOff>51709</xdr:colOff>
      <xdr:row>69</xdr:row>
      <xdr:rowOff>164400</xdr:rowOff>
    </xdr:to>
    <xdr:graphicFrame>
      <xdr:nvGraphicFramePr>
        <xdr:cNvPr id="4" name="Diagramm 3"/>
        <xdr:cNvGraphicFramePr/>
      </xdr:nvGraphicFramePr>
      <xdr:xfrm>
        <a:off x="11468735" y="13042900"/>
        <a:ext cx="6127115" cy="3322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201109</xdr:colOff>
      <xdr:row>20</xdr:row>
      <xdr:rowOff>132345</xdr:rowOff>
    </xdr:from>
    <xdr:to>
      <xdr:col>12</xdr:col>
      <xdr:colOff>342340</xdr:colOff>
      <xdr:row>35</xdr:row>
      <xdr:rowOff>54345</xdr:rowOff>
    </xdr:to>
    <xdr:graphicFrame>
      <xdr:nvGraphicFramePr>
        <xdr:cNvPr id="5" name="Diagramm 4"/>
        <xdr:cNvGraphicFramePr/>
      </xdr:nvGraphicFramePr>
      <xdr:xfrm>
        <a:off x="4206875" y="4399280"/>
        <a:ext cx="6085205" cy="33407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0.62074</cdr:x>
      <cdr:y>0.23663</cdr:y>
    </cdr:from>
    <cdr:to>
      <cdr:x>0.80011</cdr:x>
      <cdr:y>0.28545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798905" y="945563"/>
          <a:ext cx="1097744" cy="195084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243320</xdr:colOff>
      <xdr:row>0</xdr:row>
      <xdr:rowOff>116032</xdr:rowOff>
    </xdr:from>
    <xdr:to>
      <xdr:col>19</xdr:col>
      <xdr:colOff>267320</xdr:colOff>
      <xdr:row>21</xdr:row>
      <xdr:rowOff>85520</xdr:rowOff>
    </xdr:to>
    <xdr:graphicFrame>
      <xdr:nvGraphicFramePr>
        <xdr:cNvPr id="2" name="Diagramm 1"/>
        <xdr:cNvGraphicFramePr/>
      </xdr:nvGraphicFramePr>
      <xdr:xfrm>
        <a:off x="9433560" y="115570"/>
        <a:ext cx="6099175" cy="4469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56</xdr:row>
      <xdr:rowOff>41565</xdr:rowOff>
    </xdr:from>
    <xdr:to>
      <xdr:col>22</xdr:col>
      <xdr:colOff>24000</xdr:colOff>
      <xdr:row>71</xdr:row>
      <xdr:rowOff>154065</xdr:rowOff>
    </xdr:to>
    <xdr:graphicFrame>
      <xdr:nvGraphicFramePr>
        <xdr:cNvPr id="3" name="Diagramm 2"/>
        <xdr:cNvGraphicFramePr/>
      </xdr:nvGraphicFramePr>
      <xdr:xfrm>
        <a:off x="11468735" y="1348867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894113</xdr:colOff>
      <xdr:row>27</xdr:row>
      <xdr:rowOff>158697</xdr:rowOff>
    </xdr:from>
    <xdr:to>
      <xdr:col>13</xdr:col>
      <xdr:colOff>256966</xdr:colOff>
      <xdr:row>43</xdr:row>
      <xdr:rowOff>58285</xdr:rowOff>
    </xdr:to>
    <xdr:graphicFrame>
      <xdr:nvGraphicFramePr>
        <xdr:cNvPr id="4" name="Diagramm 3"/>
        <xdr:cNvGraphicFramePr/>
      </xdr:nvGraphicFramePr>
      <xdr:xfrm>
        <a:off x="4897755" y="6156325"/>
        <a:ext cx="6068060" cy="333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0.56527</cdr:x>
      <cdr:y>0.18455</cdr:y>
    </cdr:from>
    <cdr:to>
      <cdr:x>0.73921</cdr:x>
      <cdr:y>0.23255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459460" y="736812"/>
          <a:ext cx="1064513" cy="191635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214745</xdr:colOff>
      <xdr:row>0</xdr:row>
      <xdr:rowOff>163657</xdr:rowOff>
    </xdr:from>
    <xdr:to>
      <xdr:col>23</xdr:col>
      <xdr:colOff>238745</xdr:colOff>
      <xdr:row>21</xdr:row>
      <xdr:rowOff>159157</xdr:rowOff>
    </xdr:to>
    <xdr:graphicFrame>
      <xdr:nvGraphicFramePr>
        <xdr:cNvPr id="2" name="Diagramm 1"/>
        <xdr:cNvGraphicFramePr/>
      </xdr:nvGraphicFramePr>
      <xdr:xfrm>
        <a:off x="12442825" y="163195"/>
        <a:ext cx="6099175" cy="447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892461</xdr:colOff>
      <xdr:row>28</xdr:row>
      <xdr:rowOff>103910</xdr:rowOff>
    </xdr:from>
    <xdr:to>
      <xdr:col>13</xdr:col>
      <xdr:colOff>268761</xdr:colOff>
      <xdr:row>44</xdr:row>
      <xdr:rowOff>6860</xdr:rowOff>
    </xdr:to>
    <xdr:graphicFrame>
      <xdr:nvGraphicFramePr>
        <xdr:cNvPr id="3" name="Diagramm 2"/>
        <xdr:cNvGraphicFramePr/>
      </xdr:nvGraphicFramePr>
      <xdr:xfrm>
        <a:off x="4897755" y="6296025"/>
        <a:ext cx="6080125" cy="3335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102755</xdr:colOff>
      <xdr:row>30</xdr:row>
      <xdr:rowOff>20782</xdr:rowOff>
    </xdr:from>
    <xdr:to>
      <xdr:col>20</xdr:col>
      <xdr:colOff>128897</xdr:colOff>
      <xdr:row>42</xdr:row>
      <xdr:rowOff>159328</xdr:rowOff>
    </xdr:to>
    <xdr:graphicFrame>
      <xdr:nvGraphicFramePr>
        <xdr:cNvPr id="4" name="Diagramm 3"/>
        <xdr:cNvGraphicFramePr/>
      </xdr:nvGraphicFramePr>
      <xdr:xfrm>
        <a:off x="10811510" y="6639560"/>
        <a:ext cx="5342255" cy="2717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48</xdr:row>
      <xdr:rowOff>41565</xdr:rowOff>
    </xdr:from>
    <xdr:to>
      <xdr:col>22</xdr:col>
      <xdr:colOff>51709</xdr:colOff>
      <xdr:row>63</xdr:row>
      <xdr:rowOff>164400</xdr:rowOff>
    </xdr:to>
    <xdr:graphicFrame>
      <xdr:nvGraphicFramePr>
        <xdr:cNvPr id="5" name="Diagramm 4"/>
        <xdr:cNvGraphicFramePr/>
      </xdr:nvGraphicFramePr>
      <xdr:xfrm>
        <a:off x="11468735" y="11762740"/>
        <a:ext cx="6127115" cy="3322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0.64467</cdr:x>
      <cdr:y>0.27128</cdr:y>
    </cdr:from>
    <cdr:to>
      <cdr:x>0.81861</cdr:x>
      <cdr:y>0.31952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45391" y="1084027"/>
          <a:ext cx="1064512" cy="192767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519545</xdr:colOff>
      <xdr:row>1</xdr:row>
      <xdr:rowOff>20782</xdr:rowOff>
    </xdr:from>
    <xdr:to>
      <xdr:col>22</xdr:col>
      <xdr:colOff>47500</xdr:colOff>
      <xdr:row>27</xdr:row>
      <xdr:rowOff>32906</xdr:rowOff>
    </xdr:to>
    <xdr:graphicFrame>
      <xdr:nvGraphicFramePr>
        <xdr:cNvPr id="2" name="Diagramm 1"/>
        <xdr:cNvGraphicFramePr/>
      </xdr:nvGraphicFramePr>
      <xdr:xfrm>
        <a:off x="9709785" y="233680"/>
        <a:ext cx="7881620" cy="5777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435261</xdr:colOff>
      <xdr:row>27</xdr:row>
      <xdr:rowOff>154710</xdr:rowOff>
    </xdr:from>
    <xdr:to>
      <xdr:col>12</xdr:col>
      <xdr:colOff>560861</xdr:colOff>
      <xdr:row>43</xdr:row>
      <xdr:rowOff>51310</xdr:rowOff>
    </xdr:to>
    <xdr:graphicFrame>
      <xdr:nvGraphicFramePr>
        <xdr:cNvPr id="3" name="Diagramm 2"/>
        <xdr:cNvGraphicFramePr/>
      </xdr:nvGraphicFramePr>
      <xdr:xfrm>
        <a:off x="4441190" y="6133465"/>
        <a:ext cx="6069330" cy="3329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19628</xdr:colOff>
      <xdr:row>29</xdr:row>
      <xdr:rowOff>187037</xdr:rowOff>
    </xdr:from>
    <xdr:to>
      <xdr:col>20</xdr:col>
      <xdr:colOff>45770</xdr:colOff>
      <xdr:row>42</xdr:row>
      <xdr:rowOff>138545</xdr:rowOff>
    </xdr:to>
    <xdr:graphicFrame>
      <xdr:nvGraphicFramePr>
        <xdr:cNvPr id="4" name="Diagramm 3"/>
        <xdr:cNvGraphicFramePr/>
      </xdr:nvGraphicFramePr>
      <xdr:xfrm>
        <a:off x="10728325" y="6592570"/>
        <a:ext cx="5342890" cy="27444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830543</xdr:colOff>
      <xdr:row>3</xdr:row>
      <xdr:rowOff>69270</xdr:rowOff>
    </xdr:from>
    <xdr:to>
      <xdr:col>32</xdr:col>
      <xdr:colOff>328836</xdr:colOff>
      <xdr:row>29</xdr:row>
      <xdr:rowOff>81397</xdr:rowOff>
    </xdr:to>
    <xdr:graphicFrame>
      <xdr:nvGraphicFramePr>
        <xdr:cNvPr id="5" name="Diagramm 4"/>
        <xdr:cNvGraphicFramePr/>
      </xdr:nvGraphicFramePr>
      <xdr:xfrm>
        <a:off x="18303875" y="709295"/>
        <a:ext cx="7163435" cy="5777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48</xdr:row>
      <xdr:rowOff>41565</xdr:rowOff>
    </xdr:from>
    <xdr:to>
      <xdr:col>22</xdr:col>
      <xdr:colOff>51709</xdr:colOff>
      <xdr:row>63</xdr:row>
      <xdr:rowOff>164400</xdr:rowOff>
    </xdr:to>
    <xdr:graphicFrame>
      <xdr:nvGraphicFramePr>
        <xdr:cNvPr id="6" name="Diagramm 5"/>
        <xdr:cNvGraphicFramePr/>
      </xdr:nvGraphicFramePr>
      <xdr:xfrm>
        <a:off x="11468735" y="11762740"/>
        <a:ext cx="6127115" cy="3322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0.63902</cdr:x>
      <cdr:y>0.13548</cdr:y>
    </cdr:from>
    <cdr:to>
      <cdr:x>0.81296</cdr:x>
      <cdr:y>0.18372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054600" y="698500"/>
          <a:ext cx="1375889" cy="248702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64</xdr:row>
      <xdr:rowOff>1</xdr:rowOff>
    </xdr:from>
    <xdr:ext cx="4092087" cy="2052155"/>
    <xdr:pic>
      <xdr:nvPicPr>
        <xdr:cNvPr id="2" name="Grafik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84290" y="12411075"/>
          <a:ext cx="4091940" cy="2051685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9525</xdr:colOff>
      <xdr:row>0</xdr:row>
      <xdr:rowOff>0</xdr:rowOff>
    </xdr:from>
    <xdr:to>
      <xdr:col>19</xdr:col>
      <xdr:colOff>33525</xdr:colOff>
      <xdr:row>16</xdr:row>
      <xdr:rowOff>10169</xdr:rowOff>
    </xdr:to>
    <xdr:grpSp>
      <xdr:nvGrpSpPr>
        <xdr:cNvPr id="2" name="Gruppieren 1"/>
        <xdr:cNvGrpSpPr/>
      </xdr:nvGrpSpPr>
      <xdr:grpSpPr>
        <a:xfrm>
          <a:off x="8550910" y="0"/>
          <a:ext cx="6099175" cy="3423920"/>
          <a:chOff x="11106503" y="-1006682"/>
          <a:chExt cx="6881666" cy="4343541"/>
        </a:xfrm>
      </xdr:grpSpPr>
      <xdr:graphicFrame>
        <xdr:nvGraphicFramePr>
          <xdr:cNvPr id="3" name="Diagramm 2"/>
          <xdr:cNvGraphicFramePr/>
        </xdr:nvGraphicFramePr>
        <xdr:xfrm>
          <a:off x="11106503" y="-1006682"/>
          <a:ext cx="6881666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5552409" y="616089"/>
            <a:ext cx="1547126" cy="3532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000"/>
              <a:t>Fütterungsmenge [t/d]</a:t>
            </a:r>
            <a:endParaRPr lang="de-DE" sz="1000"/>
          </a:p>
        </xdr:txBody>
      </xdr:sp>
    </xdr:grpSp>
    <xdr:clientData/>
  </xdr:twoCellAnchor>
  <xdr:twoCellAnchor>
    <xdr:from>
      <xdr:col>10</xdr:col>
      <xdr:colOff>748393</xdr:colOff>
      <xdr:row>37</xdr:row>
      <xdr:rowOff>189139</xdr:rowOff>
    </xdr:from>
    <xdr:to>
      <xdr:col>19</xdr:col>
      <xdr:colOff>10393</xdr:colOff>
      <xdr:row>54</xdr:row>
      <xdr:rowOff>10639</xdr:rowOff>
    </xdr:to>
    <xdr:graphicFrame>
      <xdr:nvGraphicFramePr>
        <xdr:cNvPr id="5" name="Diagramm 4"/>
        <xdr:cNvGraphicFramePr/>
      </xdr:nvGraphicFramePr>
      <xdr:xfrm>
        <a:off x="8529955" y="8320405"/>
        <a:ext cx="6097270" cy="3448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304800</xdr:colOff>
      <xdr:row>0</xdr:row>
      <xdr:rowOff>0</xdr:rowOff>
    </xdr:from>
    <xdr:to>
      <xdr:col>18</xdr:col>
      <xdr:colOff>328800</xdr:colOff>
      <xdr:row>20</xdr:row>
      <xdr:rowOff>182400</xdr:rowOff>
    </xdr:to>
    <xdr:grpSp>
      <xdr:nvGrpSpPr>
        <xdr:cNvPr id="6" name="Gruppieren 5"/>
        <xdr:cNvGrpSpPr/>
      </xdr:nvGrpSpPr>
      <xdr:grpSpPr>
        <a:xfrm>
          <a:off x="8086725" y="0"/>
          <a:ext cx="6099175" cy="4449445"/>
          <a:chOff x="10783527" y="-1006682"/>
          <a:chExt cx="6694132" cy="5292423"/>
        </a:xfrm>
      </xdr:grpSpPr>
      <xdr:graphicFrame>
        <xdr:nvGraphicFramePr>
          <xdr:cNvPr id="7" name="Diagramm 6"/>
          <xdr:cNvGraphicFramePr/>
        </xdr:nvGraphicFramePr>
        <xdr:xfrm>
          <a:off x="10783527" y="-1006682"/>
          <a:ext cx="6694132" cy="529242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>
        <xdr:nvSpPr>
          <xdr:cNvPr id="8" name="Textfeld 7"/>
          <xdr:cNvSpPr txBox="1"/>
        </xdr:nvSpPr>
        <xdr:spPr>
          <a:xfrm>
            <a:off x="11551681" y="-15240"/>
            <a:ext cx="1765799" cy="3714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10</xdr:col>
      <xdr:colOff>748393</xdr:colOff>
      <xdr:row>37</xdr:row>
      <xdr:rowOff>189139</xdr:rowOff>
    </xdr:from>
    <xdr:to>
      <xdr:col>19</xdr:col>
      <xdr:colOff>10393</xdr:colOff>
      <xdr:row>53</xdr:row>
      <xdr:rowOff>111139</xdr:rowOff>
    </xdr:to>
    <xdr:graphicFrame>
      <xdr:nvGraphicFramePr>
        <xdr:cNvPr id="9" name="Diagramm 8"/>
        <xdr:cNvGraphicFramePr/>
      </xdr:nvGraphicFramePr>
      <xdr:xfrm>
        <a:off x="8529955" y="8320405"/>
        <a:ext cx="6097270" cy="3336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761999</xdr:colOff>
      <xdr:row>21</xdr:row>
      <xdr:rowOff>0</xdr:rowOff>
    </xdr:from>
    <xdr:to>
      <xdr:col>16</xdr:col>
      <xdr:colOff>23999</xdr:colOff>
      <xdr:row>36</xdr:row>
      <xdr:rowOff>93450</xdr:rowOff>
    </xdr:to>
    <xdr:graphicFrame>
      <xdr:nvGraphicFramePr>
        <xdr:cNvPr id="10" name="Diagramm 9"/>
        <xdr:cNvGraphicFramePr/>
      </xdr:nvGraphicFramePr>
      <xdr:xfrm>
        <a:off x="6263005" y="469900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390525</xdr:colOff>
      <xdr:row>1</xdr:row>
      <xdr:rowOff>0</xdr:rowOff>
    </xdr:from>
    <xdr:to>
      <xdr:col>20</xdr:col>
      <xdr:colOff>414525</xdr:colOff>
      <xdr:row>17</xdr:row>
      <xdr:rowOff>10169</xdr:rowOff>
    </xdr:to>
    <xdr:grpSp>
      <xdr:nvGrpSpPr>
        <xdr:cNvPr id="2" name="Gruppieren 1"/>
        <xdr:cNvGrpSpPr/>
      </xdr:nvGrpSpPr>
      <xdr:grpSpPr>
        <a:xfrm>
          <a:off x="10142855" y="213360"/>
          <a:ext cx="6099175" cy="3423920"/>
          <a:chOff x="12488149" y="-722585"/>
          <a:chExt cx="6881666" cy="4343541"/>
        </a:xfrm>
      </xdr:grpSpPr>
      <xdr:graphicFrame>
        <xdr:nvGraphicFramePr>
          <xdr:cNvPr id="3" name="Diagramm 2"/>
          <xdr:cNvGraphicFramePr/>
        </xdr:nvGraphicFramePr>
        <xdr:xfrm>
          <a:off x="12488149" y="-722585"/>
          <a:ext cx="6881666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324638" y="561975"/>
            <a:ext cx="1547126" cy="3532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000"/>
              <a:t>Fütterungsmenge [t/d]</a:t>
            </a:r>
            <a:endParaRPr lang="de-DE" sz="1000"/>
          </a:p>
        </xdr:txBody>
      </xdr:sp>
    </xdr:grpSp>
    <xdr:clientData/>
  </xdr:twoCellAnchor>
  <xdr:twoCellAnchor>
    <xdr:from>
      <xdr:col>12</xdr:col>
      <xdr:colOff>748393</xdr:colOff>
      <xdr:row>39</xdr:row>
      <xdr:rowOff>189139</xdr:rowOff>
    </xdr:from>
    <xdr:to>
      <xdr:col>21</xdr:col>
      <xdr:colOff>10393</xdr:colOff>
      <xdr:row>52</xdr:row>
      <xdr:rowOff>10639</xdr:rowOff>
    </xdr:to>
    <xdr:graphicFrame>
      <xdr:nvGraphicFramePr>
        <xdr:cNvPr id="5" name="Diagramm 4"/>
        <xdr:cNvGraphicFramePr/>
      </xdr:nvGraphicFramePr>
      <xdr:xfrm>
        <a:off x="10500360" y="9181465"/>
        <a:ext cx="6097270" cy="3667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390525</xdr:colOff>
      <xdr:row>0</xdr:row>
      <xdr:rowOff>190497</xdr:rowOff>
    </xdr:from>
    <xdr:to>
      <xdr:col>20</xdr:col>
      <xdr:colOff>414525</xdr:colOff>
      <xdr:row>21</xdr:row>
      <xdr:rowOff>185997</xdr:rowOff>
    </xdr:to>
    <xdr:grpSp>
      <xdr:nvGrpSpPr>
        <xdr:cNvPr id="6" name="Gruppieren 5"/>
        <xdr:cNvGrpSpPr/>
      </xdr:nvGrpSpPr>
      <xdr:grpSpPr>
        <a:xfrm>
          <a:off x="10142855" y="189865"/>
          <a:ext cx="6099175" cy="4476115"/>
          <a:chOff x="12488148" y="-722587"/>
          <a:chExt cx="7240254" cy="5059635"/>
        </a:xfrm>
      </xdr:grpSpPr>
      <xdr:graphicFrame>
        <xdr:nvGraphicFramePr>
          <xdr:cNvPr id="7" name="Diagramm 6"/>
          <xdr:cNvGraphicFramePr/>
        </xdr:nvGraphicFramePr>
        <xdr:xfrm>
          <a:off x="12488148" y="-722587"/>
          <a:ext cx="7240254" cy="505963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>
        <xdr:nvSpPr>
          <xdr:cNvPr id="8" name="Textfeld 7"/>
          <xdr:cNvSpPr txBox="1"/>
        </xdr:nvSpPr>
        <xdr:spPr>
          <a:xfrm>
            <a:off x="13399611" y="61423"/>
            <a:ext cx="1815267" cy="3979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12</xdr:col>
      <xdr:colOff>748393</xdr:colOff>
      <xdr:row>39</xdr:row>
      <xdr:rowOff>189139</xdr:rowOff>
    </xdr:from>
    <xdr:to>
      <xdr:col>21</xdr:col>
      <xdr:colOff>10393</xdr:colOff>
      <xdr:row>49</xdr:row>
      <xdr:rowOff>111139</xdr:rowOff>
    </xdr:to>
    <xdr:graphicFrame>
      <xdr:nvGraphicFramePr>
        <xdr:cNvPr id="9" name="Diagramm 8"/>
        <xdr:cNvGraphicFramePr/>
      </xdr:nvGraphicFramePr>
      <xdr:xfrm>
        <a:off x="10500360" y="9181465"/>
        <a:ext cx="6097270" cy="312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761999</xdr:colOff>
      <xdr:row>21</xdr:row>
      <xdr:rowOff>0</xdr:rowOff>
    </xdr:from>
    <xdr:to>
      <xdr:col>16</xdr:col>
      <xdr:colOff>23999</xdr:colOff>
      <xdr:row>35</xdr:row>
      <xdr:rowOff>102975</xdr:rowOff>
    </xdr:to>
    <xdr:graphicFrame>
      <xdr:nvGraphicFramePr>
        <xdr:cNvPr id="10" name="Diagramm 9"/>
        <xdr:cNvGraphicFramePr/>
      </xdr:nvGraphicFramePr>
      <xdr:xfrm>
        <a:off x="6714490" y="4480560"/>
        <a:ext cx="6099175" cy="3317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438150</xdr:colOff>
      <xdr:row>1</xdr:row>
      <xdr:rowOff>19049</xdr:rowOff>
    </xdr:from>
    <xdr:to>
      <xdr:col>20</xdr:col>
      <xdr:colOff>462150</xdr:colOff>
      <xdr:row>21</xdr:row>
      <xdr:rowOff>205049</xdr:rowOff>
    </xdr:to>
    <xdr:graphicFrame>
      <xdr:nvGraphicFramePr>
        <xdr:cNvPr id="2" name="Diagramm 1"/>
        <xdr:cNvGraphicFramePr/>
      </xdr:nvGraphicFramePr>
      <xdr:xfrm>
        <a:off x="10190480" y="231775"/>
        <a:ext cx="6099175" cy="4453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400524</xdr:colOff>
      <xdr:row>39</xdr:row>
      <xdr:rowOff>222270</xdr:rowOff>
    </xdr:from>
    <xdr:to>
      <xdr:col>21</xdr:col>
      <xdr:colOff>424524</xdr:colOff>
      <xdr:row>49</xdr:row>
      <xdr:rowOff>144270</xdr:rowOff>
    </xdr:to>
    <xdr:graphicFrame>
      <xdr:nvGraphicFramePr>
        <xdr:cNvPr id="3" name="Diagramm 2"/>
        <xdr:cNvGraphicFramePr/>
      </xdr:nvGraphicFramePr>
      <xdr:xfrm>
        <a:off x="10911840" y="9215120"/>
        <a:ext cx="6099810" cy="3127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21</xdr:col>
      <xdr:colOff>742950</xdr:colOff>
      <xdr:row>1</xdr:row>
      <xdr:rowOff>38100</xdr:rowOff>
    </xdr:from>
    <xdr:ext cx="1462131" cy="3045952"/>
    <xdr:pic>
      <xdr:nvPicPr>
        <xdr:cNvPr id="4" name="Grafik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330420" y="251460"/>
          <a:ext cx="1461770" cy="3045460"/>
        </a:xfrm>
        <a:prstGeom prst="rect">
          <a:avLst/>
        </a:prstGeom>
      </xdr:spPr>
    </xdr:pic>
    <xdr:clientData/>
  </xdr:oneCellAnchor>
  <xdr:twoCellAnchor>
    <xdr:from>
      <xdr:col>6</xdr:col>
      <xdr:colOff>971549</xdr:colOff>
      <xdr:row>22</xdr:row>
      <xdr:rowOff>0</xdr:rowOff>
    </xdr:from>
    <xdr:to>
      <xdr:col>15</xdr:col>
      <xdr:colOff>23999</xdr:colOff>
      <xdr:row>37</xdr:row>
      <xdr:rowOff>93450</xdr:rowOff>
    </xdr:to>
    <xdr:graphicFrame>
      <xdr:nvGraphicFramePr>
        <xdr:cNvPr id="5" name="Diagramm 4"/>
        <xdr:cNvGraphicFramePr/>
      </xdr:nvGraphicFramePr>
      <xdr:xfrm>
        <a:off x="5955030" y="491236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0.13564</cdr:x>
      <cdr:y>0.52907</cdr:y>
    </cdr:from>
    <cdr:to>
      <cdr:x>0.31608</cdr:x>
      <cdr:y>0.58439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830107" y="2114164"/>
          <a:ext cx="1104292" cy="221058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11</xdr:col>
      <xdr:colOff>291353</xdr:colOff>
      <xdr:row>13</xdr:row>
      <xdr:rowOff>123265</xdr:rowOff>
    </xdr:from>
    <xdr:ext cx="11163300" cy="2255408"/>
    <xdr:pic>
      <xdr:nvPicPr>
        <xdr:cNvPr id="2" name="Grafik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54260" y="2759075"/>
          <a:ext cx="11163300" cy="225488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  <a:headEnd/>
          <a:tailEnd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266700</xdr:colOff>
      <xdr:row>1</xdr:row>
      <xdr:rowOff>28575</xdr:rowOff>
    </xdr:from>
    <xdr:to>
      <xdr:col>20</xdr:col>
      <xdr:colOff>290700</xdr:colOff>
      <xdr:row>21</xdr:row>
      <xdr:rowOff>210975</xdr:rowOff>
    </xdr:to>
    <xdr:graphicFrame>
      <xdr:nvGraphicFramePr>
        <xdr:cNvPr id="2" name="Diagramm 1"/>
        <xdr:cNvGraphicFramePr/>
      </xdr:nvGraphicFramePr>
      <xdr:xfrm>
        <a:off x="10019030" y="241935"/>
        <a:ext cx="6099175" cy="4449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400524</xdr:colOff>
      <xdr:row>38</xdr:row>
      <xdr:rowOff>222270</xdr:rowOff>
    </xdr:from>
    <xdr:to>
      <xdr:col>21</xdr:col>
      <xdr:colOff>424524</xdr:colOff>
      <xdr:row>48</xdr:row>
      <xdr:rowOff>144270</xdr:rowOff>
    </xdr:to>
    <xdr:graphicFrame>
      <xdr:nvGraphicFramePr>
        <xdr:cNvPr id="3" name="Diagramm 2"/>
        <xdr:cNvGraphicFramePr/>
      </xdr:nvGraphicFramePr>
      <xdr:xfrm>
        <a:off x="10911840" y="8567420"/>
        <a:ext cx="6099810" cy="3127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971549</xdr:colOff>
      <xdr:row>22</xdr:row>
      <xdr:rowOff>0</xdr:rowOff>
    </xdr:from>
    <xdr:to>
      <xdr:col>15</xdr:col>
      <xdr:colOff>23999</xdr:colOff>
      <xdr:row>37</xdr:row>
      <xdr:rowOff>93450</xdr:rowOff>
    </xdr:to>
    <xdr:graphicFrame>
      <xdr:nvGraphicFramePr>
        <xdr:cNvPr id="4" name="Diagramm 3"/>
        <xdr:cNvGraphicFramePr/>
      </xdr:nvGraphicFramePr>
      <xdr:xfrm>
        <a:off x="5955030" y="491236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0.49849</cdr:x>
      <cdr:y>0.10215</cdr:y>
    </cdr:from>
    <cdr:to>
      <cdr:x>0.68813</cdr:x>
      <cdr:y>0.16202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050761" y="407821"/>
          <a:ext cx="1160596" cy="239026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533400</xdr:colOff>
      <xdr:row>0</xdr:row>
      <xdr:rowOff>76200</xdr:rowOff>
    </xdr:from>
    <xdr:to>
      <xdr:col>17</xdr:col>
      <xdr:colOff>557400</xdr:colOff>
      <xdr:row>21</xdr:row>
      <xdr:rowOff>68100</xdr:rowOff>
    </xdr:to>
    <xdr:graphicFrame>
      <xdr:nvGraphicFramePr>
        <xdr:cNvPr id="3" name="Diagramm 2"/>
        <xdr:cNvGraphicFramePr/>
      </xdr:nvGraphicFramePr>
      <xdr:xfrm>
        <a:off x="7368540" y="76200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27</xdr:row>
      <xdr:rowOff>0</xdr:rowOff>
    </xdr:from>
    <xdr:to>
      <xdr:col>14</xdr:col>
      <xdr:colOff>24000</xdr:colOff>
      <xdr:row>42</xdr:row>
      <xdr:rowOff>112500</xdr:rowOff>
    </xdr:to>
    <xdr:graphicFrame>
      <xdr:nvGraphicFramePr>
        <xdr:cNvPr id="4" name="Diagramm 3"/>
        <xdr:cNvGraphicFramePr/>
      </xdr:nvGraphicFramePr>
      <xdr:xfrm>
        <a:off x="4556760" y="576072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19</xdr:col>
      <xdr:colOff>24000</xdr:colOff>
      <xdr:row>64</xdr:row>
      <xdr:rowOff>173925</xdr:rowOff>
    </xdr:to>
    <xdr:graphicFrame>
      <xdr:nvGraphicFramePr>
        <xdr:cNvPr id="5" name="Diagramm 4"/>
        <xdr:cNvGraphicFramePr/>
      </xdr:nvGraphicFramePr>
      <xdr:xfrm>
        <a:off x="7594600" y="10027920"/>
        <a:ext cx="6858635" cy="380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247650</xdr:colOff>
      <xdr:row>0</xdr:row>
      <xdr:rowOff>114300</xdr:rowOff>
    </xdr:from>
    <xdr:to>
      <xdr:col>16</xdr:col>
      <xdr:colOff>271650</xdr:colOff>
      <xdr:row>21</xdr:row>
      <xdr:rowOff>106200</xdr:rowOff>
    </xdr:to>
    <xdr:graphicFrame>
      <xdr:nvGraphicFramePr>
        <xdr:cNvPr id="2" name="Diagramm 1"/>
        <xdr:cNvGraphicFramePr/>
      </xdr:nvGraphicFramePr>
      <xdr:xfrm>
        <a:off x="6323330" y="114300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26</xdr:row>
      <xdr:rowOff>0</xdr:rowOff>
    </xdr:from>
    <xdr:to>
      <xdr:col>11</xdr:col>
      <xdr:colOff>24938</xdr:colOff>
      <xdr:row>41</xdr:row>
      <xdr:rowOff>112500</xdr:rowOff>
    </xdr:to>
    <xdr:graphicFrame>
      <xdr:nvGraphicFramePr>
        <xdr:cNvPr id="3" name="Diagramm 2"/>
        <xdr:cNvGraphicFramePr/>
      </xdr:nvGraphicFramePr>
      <xdr:xfrm>
        <a:off x="2278380" y="554736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47</xdr:row>
      <xdr:rowOff>0</xdr:rowOff>
    </xdr:from>
    <xdr:to>
      <xdr:col>19</xdr:col>
      <xdr:colOff>24000</xdr:colOff>
      <xdr:row>62</xdr:row>
      <xdr:rowOff>112500</xdr:rowOff>
    </xdr:to>
    <xdr:graphicFrame>
      <xdr:nvGraphicFramePr>
        <xdr:cNvPr id="4" name="Diagramm 3"/>
        <xdr:cNvGraphicFramePr/>
      </xdr:nvGraphicFramePr>
      <xdr:xfrm>
        <a:off x="8354060" y="1002792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314325</xdr:colOff>
      <xdr:row>0</xdr:row>
      <xdr:rowOff>0</xdr:rowOff>
    </xdr:from>
    <xdr:to>
      <xdr:col>20</xdr:col>
      <xdr:colOff>338325</xdr:colOff>
      <xdr:row>20</xdr:row>
      <xdr:rowOff>186000</xdr:rowOff>
    </xdr:to>
    <xdr:graphicFrame>
      <xdr:nvGraphicFramePr>
        <xdr:cNvPr id="2" name="Diagramm 1"/>
        <xdr:cNvGraphicFramePr/>
      </xdr:nvGraphicFramePr>
      <xdr:xfrm>
        <a:off x="9427845" y="0"/>
        <a:ext cx="6099175" cy="4452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20</xdr:row>
      <xdr:rowOff>0</xdr:rowOff>
    </xdr:from>
    <xdr:to>
      <xdr:col>12</xdr:col>
      <xdr:colOff>24938</xdr:colOff>
      <xdr:row>35</xdr:row>
      <xdr:rowOff>112500</xdr:rowOff>
    </xdr:to>
    <xdr:graphicFrame>
      <xdr:nvGraphicFramePr>
        <xdr:cNvPr id="3" name="Diagramm 2"/>
        <xdr:cNvGraphicFramePr/>
      </xdr:nvGraphicFramePr>
      <xdr:xfrm>
        <a:off x="3037840" y="426720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38</xdr:row>
      <xdr:rowOff>0</xdr:rowOff>
    </xdr:from>
    <xdr:to>
      <xdr:col>12</xdr:col>
      <xdr:colOff>24000</xdr:colOff>
      <xdr:row>53</xdr:row>
      <xdr:rowOff>112500</xdr:rowOff>
    </xdr:to>
    <xdr:graphicFrame>
      <xdr:nvGraphicFramePr>
        <xdr:cNvPr id="4" name="Diagramm 3"/>
        <xdr:cNvGraphicFramePr/>
      </xdr:nvGraphicFramePr>
      <xdr:xfrm>
        <a:off x="3037840" y="810768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3</xdr:row>
      <xdr:rowOff>0</xdr:rowOff>
    </xdr:from>
    <xdr:to>
      <xdr:col>19</xdr:col>
      <xdr:colOff>219077</xdr:colOff>
      <xdr:row>24</xdr:row>
      <xdr:rowOff>9525</xdr:rowOff>
    </xdr:to>
    <xdr:graphicFrame>
      <xdr:nvGraphicFramePr>
        <xdr:cNvPr id="2" name="Diagramm 1"/>
        <xdr:cNvGraphicFramePr/>
      </xdr:nvGraphicFramePr>
      <xdr:xfrm>
        <a:off x="8354060" y="640080"/>
        <a:ext cx="6294755" cy="4490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27</xdr:row>
      <xdr:rowOff>0</xdr:rowOff>
    </xdr:from>
    <xdr:to>
      <xdr:col>13</xdr:col>
      <xdr:colOff>24938</xdr:colOff>
      <xdr:row>42</xdr:row>
      <xdr:rowOff>112500</xdr:rowOff>
    </xdr:to>
    <xdr:graphicFrame>
      <xdr:nvGraphicFramePr>
        <xdr:cNvPr id="4" name="Diagramm 3"/>
        <xdr:cNvGraphicFramePr/>
      </xdr:nvGraphicFramePr>
      <xdr:xfrm>
        <a:off x="3797300" y="576072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18</xdr:col>
      <xdr:colOff>24000</xdr:colOff>
      <xdr:row>62</xdr:row>
      <xdr:rowOff>112500</xdr:rowOff>
    </xdr:to>
    <xdr:graphicFrame>
      <xdr:nvGraphicFramePr>
        <xdr:cNvPr id="5" name="Diagramm 4"/>
        <xdr:cNvGraphicFramePr/>
      </xdr:nvGraphicFramePr>
      <xdr:xfrm>
        <a:off x="7594600" y="1002792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2</xdr:row>
      <xdr:rowOff>0</xdr:rowOff>
    </xdr:from>
    <xdr:to>
      <xdr:col>21</xdr:col>
      <xdr:colOff>24000</xdr:colOff>
      <xdr:row>22</xdr:row>
      <xdr:rowOff>186000</xdr:rowOff>
    </xdr:to>
    <xdr:grpSp>
      <xdr:nvGrpSpPr>
        <xdr:cNvPr id="2" name="Gruppieren 1"/>
        <xdr:cNvGrpSpPr/>
      </xdr:nvGrpSpPr>
      <xdr:grpSpPr>
        <a:xfrm>
          <a:off x="9872980" y="426720"/>
          <a:ext cx="6099175" cy="4452620"/>
          <a:chOff x="9539738" y="-528531"/>
          <a:chExt cx="6881667" cy="4343541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881667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2548730" y="881364"/>
            <a:ext cx="1759193" cy="3035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5</xdr:col>
      <xdr:colOff>0</xdr:colOff>
      <xdr:row>23</xdr:row>
      <xdr:rowOff>0</xdr:rowOff>
    </xdr:from>
    <xdr:to>
      <xdr:col>13</xdr:col>
      <xdr:colOff>24938</xdr:colOff>
      <xdr:row>38</xdr:row>
      <xdr:rowOff>112500</xdr:rowOff>
    </xdr:to>
    <xdr:graphicFrame>
      <xdr:nvGraphicFramePr>
        <xdr:cNvPr id="5" name="Diagramm 4"/>
        <xdr:cNvGraphicFramePr/>
      </xdr:nvGraphicFramePr>
      <xdr:xfrm>
        <a:off x="3797300" y="490728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285750</xdr:colOff>
      <xdr:row>39</xdr:row>
      <xdr:rowOff>76200</xdr:rowOff>
    </xdr:from>
    <xdr:to>
      <xdr:col>18</xdr:col>
      <xdr:colOff>309750</xdr:colOff>
      <xdr:row>54</xdr:row>
      <xdr:rowOff>188700</xdr:rowOff>
    </xdr:to>
    <xdr:graphicFrame>
      <xdr:nvGraphicFramePr>
        <xdr:cNvPr id="6" name="Diagramm 5"/>
        <xdr:cNvGraphicFramePr/>
      </xdr:nvGraphicFramePr>
      <xdr:xfrm>
        <a:off x="7880350" y="839724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1</xdr:row>
      <xdr:rowOff>0</xdr:rowOff>
    </xdr:from>
    <xdr:to>
      <xdr:col>19</xdr:col>
      <xdr:colOff>24000</xdr:colOff>
      <xdr:row>21</xdr:row>
      <xdr:rowOff>186000</xdr:rowOff>
    </xdr:to>
    <xdr:graphicFrame>
      <xdr:nvGraphicFramePr>
        <xdr:cNvPr id="3" name="Diagramm 2"/>
        <xdr:cNvGraphicFramePr/>
      </xdr:nvGraphicFramePr>
      <xdr:xfrm>
        <a:off x="8354060" y="213360"/>
        <a:ext cx="6099175" cy="4452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123825</xdr:colOff>
      <xdr:row>23</xdr:row>
      <xdr:rowOff>28575</xdr:rowOff>
    </xdr:from>
    <xdr:to>
      <xdr:col>12</xdr:col>
      <xdr:colOff>148763</xdr:colOff>
      <xdr:row>38</xdr:row>
      <xdr:rowOff>141075</xdr:rowOff>
    </xdr:to>
    <xdr:graphicFrame>
      <xdr:nvGraphicFramePr>
        <xdr:cNvPr id="5" name="Diagramm 4"/>
        <xdr:cNvGraphicFramePr/>
      </xdr:nvGraphicFramePr>
      <xdr:xfrm>
        <a:off x="3161665" y="4935855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40</xdr:row>
      <xdr:rowOff>0</xdr:rowOff>
    </xdr:from>
    <xdr:to>
      <xdr:col>19</xdr:col>
      <xdr:colOff>24000</xdr:colOff>
      <xdr:row>55</xdr:row>
      <xdr:rowOff>112500</xdr:rowOff>
    </xdr:to>
    <xdr:graphicFrame>
      <xdr:nvGraphicFramePr>
        <xdr:cNvPr id="6" name="Diagramm 5"/>
        <xdr:cNvGraphicFramePr/>
      </xdr:nvGraphicFramePr>
      <xdr:xfrm>
        <a:off x="8354060" y="853440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0.48455</cdr:x>
      <cdr:y>0.37979</cdr:y>
    </cdr:from>
    <cdr:to>
      <cdr:x>0.74019</cdr:x>
      <cdr:y>0.44967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965450" y="1517650"/>
          <a:ext cx="1564484" cy="279225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3</xdr:row>
      <xdr:rowOff>0</xdr:rowOff>
    </xdr:from>
    <xdr:to>
      <xdr:col>19</xdr:col>
      <xdr:colOff>24000</xdr:colOff>
      <xdr:row>23</xdr:row>
      <xdr:rowOff>186000</xdr:rowOff>
    </xdr:to>
    <xdr:graphicFrame>
      <xdr:nvGraphicFramePr>
        <xdr:cNvPr id="3" name="Diagramm 2"/>
        <xdr:cNvGraphicFramePr/>
      </xdr:nvGraphicFramePr>
      <xdr:xfrm>
        <a:off x="8354060" y="640080"/>
        <a:ext cx="6099175" cy="4452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13</xdr:col>
      <xdr:colOff>24938</xdr:colOff>
      <xdr:row>44</xdr:row>
      <xdr:rowOff>112500</xdr:rowOff>
    </xdr:to>
    <xdr:graphicFrame>
      <xdr:nvGraphicFramePr>
        <xdr:cNvPr id="4" name="Diagramm 3"/>
        <xdr:cNvGraphicFramePr/>
      </xdr:nvGraphicFramePr>
      <xdr:xfrm>
        <a:off x="3797300" y="618744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523875</xdr:colOff>
      <xdr:row>50</xdr:row>
      <xdr:rowOff>85725</xdr:rowOff>
    </xdr:from>
    <xdr:to>
      <xdr:col>17</xdr:col>
      <xdr:colOff>547875</xdr:colOff>
      <xdr:row>66</xdr:row>
      <xdr:rowOff>7725</xdr:rowOff>
    </xdr:to>
    <xdr:graphicFrame>
      <xdr:nvGraphicFramePr>
        <xdr:cNvPr id="5" name="Diagramm 4"/>
        <xdr:cNvGraphicFramePr/>
      </xdr:nvGraphicFramePr>
      <xdr:xfrm>
        <a:off x="7359015" y="10753725"/>
        <a:ext cx="6099175" cy="3335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0.42115</cdr:x>
      <cdr:y>0.30069</cdr:y>
    </cdr:from>
    <cdr:to>
      <cdr:x>0.61077</cdr:x>
      <cdr:y>0.3605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577432" y="1201558"/>
          <a:ext cx="1160501" cy="239016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26</xdr:row>
      <xdr:rowOff>0</xdr:rowOff>
    </xdr:from>
    <xdr:to>
      <xdr:col>13</xdr:col>
      <xdr:colOff>24938</xdr:colOff>
      <xdr:row>41</xdr:row>
      <xdr:rowOff>112500</xdr:rowOff>
    </xdr:to>
    <xdr:graphicFrame>
      <xdr:nvGraphicFramePr>
        <xdr:cNvPr id="3" name="Diagramm 2"/>
        <xdr:cNvGraphicFramePr/>
      </xdr:nvGraphicFramePr>
      <xdr:xfrm>
        <a:off x="3797300" y="554736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45</xdr:row>
      <xdr:rowOff>0</xdr:rowOff>
    </xdr:from>
    <xdr:to>
      <xdr:col>16</xdr:col>
      <xdr:colOff>24000</xdr:colOff>
      <xdr:row>57</xdr:row>
      <xdr:rowOff>112500</xdr:rowOff>
    </xdr:to>
    <xdr:graphicFrame>
      <xdr:nvGraphicFramePr>
        <xdr:cNvPr id="4" name="Diagramm 3"/>
        <xdr:cNvGraphicFramePr/>
      </xdr:nvGraphicFramePr>
      <xdr:xfrm>
        <a:off x="6075680" y="9601200"/>
        <a:ext cx="6099175" cy="3325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</xdr:row>
      <xdr:rowOff>0</xdr:rowOff>
    </xdr:from>
    <xdr:to>
      <xdr:col>19</xdr:col>
      <xdr:colOff>24000</xdr:colOff>
      <xdr:row>22</xdr:row>
      <xdr:rowOff>186000</xdr:rowOff>
    </xdr:to>
    <xdr:graphicFrame>
      <xdr:nvGraphicFramePr>
        <xdr:cNvPr id="6" name="Diagramm 5"/>
        <xdr:cNvGraphicFramePr/>
      </xdr:nvGraphicFramePr>
      <xdr:xfrm>
        <a:off x="8354060" y="426720"/>
        <a:ext cx="6099175" cy="4452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0.51298</cdr:x>
      <cdr:y>0.28639</cdr:y>
    </cdr:from>
    <cdr:to>
      <cdr:x>0.7026</cdr:x>
      <cdr:y>0.3462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139413" y="1144407"/>
          <a:ext cx="1160474" cy="239001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447675</xdr:colOff>
      <xdr:row>39</xdr:row>
      <xdr:rowOff>57150</xdr:rowOff>
    </xdr:from>
    <xdr:to>
      <xdr:col>8</xdr:col>
      <xdr:colOff>471675</xdr:colOff>
      <xdr:row>54</xdr:row>
      <xdr:rowOff>169650</xdr:rowOff>
    </xdr:to>
    <xdr:graphicFrame>
      <xdr:nvGraphicFramePr>
        <xdr:cNvPr id="2" name="Diagramm 1"/>
        <xdr:cNvGraphicFramePr/>
      </xdr:nvGraphicFramePr>
      <xdr:xfrm>
        <a:off x="447675" y="837819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0</xdr:row>
      <xdr:rowOff>133350</xdr:rowOff>
    </xdr:from>
    <xdr:to>
      <xdr:col>8</xdr:col>
      <xdr:colOff>605025</xdr:colOff>
      <xdr:row>21</xdr:row>
      <xdr:rowOff>125250</xdr:rowOff>
    </xdr:to>
    <xdr:graphicFrame>
      <xdr:nvGraphicFramePr>
        <xdr:cNvPr id="3" name="Diagramm 2"/>
        <xdr:cNvGraphicFramePr/>
      </xdr:nvGraphicFramePr>
      <xdr:xfrm>
        <a:off x="581025" y="133350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9</xdr:col>
      <xdr:colOff>24938</xdr:colOff>
      <xdr:row>37</xdr:row>
      <xdr:rowOff>112500</xdr:rowOff>
    </xdr:to>
    <xdr:graphicFrame>
      <xdr:nvGraphicFramePr>
        <xdr:cNvPr id="4" name="Diagramm 3"/>
        <xdr:cNvGraphicFramePr/>
      </xdr:nvGraphicFramePr>
      <xdr:xfrm>
        <a:off x="759460" y="469392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0.16374</cdr:x>
      <cdr:y>0.2626</cdr:y>
    </cdr:from>
    <cdr:to>
      <cdr:x>0.38855</cdr:x>
      <cdr:y>0.34392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002076" y="1048414"/>
          <a:ext cx="1375837" cy="324662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0</xdr:row>
      <xdr:rowOff>95250</xdr:rowOff>
    </xdr:from>
    <xdr:to>
      <xdr:col>8</xdr:col>
      <xdr:colOff>633600</xdr:colOff>
      <xdr:row>21</xdr:row>
      <xdr:rowOff>87150</xdr:rowOff>
    </xdr:to>
    <xdr:graphicFrame>
      <xdr:nvGraphicFramePr>
        <xdr:cNvPr id="2" name="Diagramm 1"/>
        <xdr:cNvGraphicFramePr/>
      </xdr:nvGraphicFramePr>
      <xdr:xfrm>
        <a:off x="609600" y="95250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8</xdr:col>
      <xdr:colOff>24938</xdr:colOff>
      <xdr:row>38</xdr:row>
      <xdr:rowOff>112500</xdr:rowOff>
    </xdr:to>
    <xdr:graphicFrame>
      <xdr:nvGraphicFramePr>
        <xdr:cNvPr id="3" name="Diagramm 2"/>
        <xdr:cNvGraphicFramePr/>
      </xdr:nvGraphicFramePr>
      <xdr:xfrm>
        <a:off x="0" y="490728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39</xdr:row>
      <xdr:rowOff>171450</xdr:rowOff>
    </xdr:from>
    <xdr:to>
      <xdr:col>8</xdr:col>
      <xdr:colOff>24000</xdr:colOff>
      <xdr:row>55</xdr:row>
      <xdr:rowOff>93450</xdr:rowOff>
    </xdr:to>
    <xdr:graphicFrame>
      <xdr:nvGraphicFramePr>
        <xdr:cNvPr id="4" name="Diagramm 3"/>
        <xdr:cNvGraphicFramePr/>
      </xdr:nvGraphicFramePr>
      <xdr:xfrm>
        <a:off x="0" y="8492490"/>
        <a:ext cx="6099175" cy="3335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0.27652</cdr:x>
      <cdr:y>0.31196</cdr:y>
    </cdr:from>
    <cdr:to>
      <cdr:x>0.49439</cdr:x>
      <cdr:y>0.39292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746250" y="1250950"/>
          <a:ext cx="1375837" cy="324662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2</xdr:row>
      <xdr:rowOff>47625</xdr:rowOff>
    </xdr:from>
    <xdr:to>
      <xdr:col>8</xdr:col>
      <xdr:colOff>43050</xdr:colOff>
      <xdr:row>23</xdr:row>
      <xdr:rowOff>39525</xdr:rowOff>
    </xdr:to>
    <xdr:graphicFrame>
      <xdr:nvGraphicFramePr>
        <xdr:cNvPr id="2" name="Diagramm 1"/>
        <xdr:cNvGraphicFramePr/>
      </xdr:nvGraphicFramePr>
      <xdr:xfrm>
        <a:off x="19050" y="474345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161925</xdr:rowOff>
    </xdr:from>
    <xdr:to>
      <xdr:col>8</xdr:col>
      <xdr:colOff>24938</xdr:colOff>
      <xdr:row>39</xdr:row>
      <xdr:rowOff>83925</xdr:rowOff>
    </xdr:to>
    <xdr:graphicFrame>
      <xdr:nvGraphicFramePr>
        <xdr:cNvPr id="3" name="Diagramm 2"/>
        <xdr:cNvGraphicFramePr/>
      </xdr:nvGraphicFramePr>
      <xdr:xfrm>
        <a:off x="0" y="5069205"/>
        <a:ext cx="6100445" cy="3335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39</xdr:row>
      <xdr:rowOff>47625</xdr:rowOff>
    </xdr:from>
    <xdr:to>
      <xdr:col>8</xdr:col>
      <xdr:colOff>24000</xdr:colOff>
      <xdr:row>54</xdr:row>
      <xdr:rowOff>160125</xdr:rowOff>
    </xdr:to>
    <xdr:graphicFrame>
      <xdr:nvGraphicFramePr>
        <xdr:cNvPr id="4" name="Diagramm 3"/>
        <xdr:cNvGraphicFramePr/>
      </xdr:nvGraphicFramePr>
      <xdr:xfrm>
        <a:off x="0" y="8368665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0.47366</cdr:x>
      <cdr:y>0.26562</cdr:y>
    </cdr:from>
    <cdr:to>
      <cdr:x>0.69152</cdr:x>
      <cdr:y>0.34658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898775" y="1060450"/>
          <a:ext cx="1333337" cy="323235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19051</xdr:colOff>
      <xdr:row>0</xdr:row>
      <xdr:rowOff>123825</xdr:rowOff>
    </xdr:from>
    <xdr:to>
      <xdr:col>8</xdr:col>
      <xdr:colOff>43051</xdr:colOff>
      <xdr:row>21</xdr:row>
      <xdr:rowOff>119325</xdr:rowOff>
    </xdr:to>
    <xdr:graphicFrame>
      <xdr:nvGraphicFramePr>
        <xdr:cNvPr id="2" name="Diagramm 1"/>
        <xdr:cNvGraphicFramePr/>
      </xdr:nvGraphicFramePr>
      <xdr:xfrm>
        <a:off x="19050" y="123825"/>
        <a:ext cx="6099175" cy="447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22</xdr:row>
      <xdr:rowOff>171450</xdr:rowOff>
    </xdr:from>
    <xdr:to>
      <xdr:col>8</xdr:col>
      <xdr:colOff>53513</xdr:colOff>
      <xdr:row>37</xdr:row>
      <xdr:rowOff>126300</xdr:rowOff>
    </xdr:to>
    <xdr:graphicFrame>
      <xdr:nvGraphicFramePr>
        <xdr:cNvPr id="3" name="Diagramm 2"/>
        <xdr:cNvGraphicFramePr/>
      </xdr:nvGraphicFramePr>
      <xdr:xfrm>
        <a:off x="28575" y="4865370"/>
        <a:ext cx="6100445" cy="3154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38</xdr:row>
      <xdr:rowOff>133350</xdr:rowOff>
    </xdr:from>
    <xdr:to>
      <xdr:col>8</xdr:col>
      <xdr:colOff>24001</xdr:colOff>
      <xdr:row>54</xdr:row>
      <xdr:rowOff>55350</xdr:rowOff>
    </xdr:to>
    <xdr:graphicFrame>
      <xdr:nvGraphicFramePr>
        <xdr:cNvPr id="4" name="Diagramm 3"/>
        <xdr:cNvGraphicFramePr/>
      </xdr:nvGraphicFramePr>
      <xdr:xfrm>
        <a:off x="0" y="8241030"/>
        <a:ext cx="6099175" cy="3335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22</xdr:row>
      <xdr:rowOff>142875</xdr:rowOff>
    </xdr:from>
    <xdr:to>
      <xdr:col>8</xdr:col>
      <xdr:colOff>24000</xdr:colOff>
      <xdr:row>38</xdr:row>
      <xdr:rowOff>64875</xdr:rowOff>
    </xdr:to>
    <xdr:graphicFrame>
      <xdr:nvGraphicFramePr>
        <xdr:cNvPr id="5" name="Diagramm 4"/>
        <xdr:cNvGraphicFramePr/>
      </xdr:nvGraphicFramePr>
      <xdr:xfrm>
        <a:off x="0" y="4836795"/>
        <a:ext cx="6099175" cy="3335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0.35848</cdr:x>
      <cdr:y>0.28445</cdr:y>
    </cdr:from>
    <cdr:to>
      <cdr:x>0.57635</cdr:x>
      <cdr:y>0.36534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193925" y="1136650"/>
          <a:ext cx="1333337" cy="323235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24000</xdr:colOff>
      <xdr:row>21</xdr:row>
      <xdr:rowOff>182400</xdr:rowOff>
    </xdr:to>
    <xdr:graphicFrame>
      <xdr:nvGraphicFramePr>
        <xdr:cNvPr id="2" name="Diagramm 1"/>
        <xdr:cNvGraphicFramePr/>
      </xdr:nvGraphicFramePr>
      <xdr:xfrm>
        <a:off x="759460" y="213360"/>
        <a:ext cx="6099175" cy="4449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9</xdr:col>
      <xdr:colOff>24938</xdr:colOff>
      <xdr:row>39</xdr:row>
      <xdr:rowOff>112500</xdr:rowOff>
    </xdr:to>
    <xdr:graphicFrame>
      <xdr:nvGraphicFramePr>
        <xdr:cNvPr id="3" name="Diagramm 2"/>
        <xdr:cNvGraphicFramePr/>
      </xdr:nvGraphicFramePr>
      <xdr:xfrm>
        <a:off x="759460" y="512064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40</xdr:row>
      <xdr:rowOff>0</xdr:rowOff>
    </xdr:from>
    <xdr:to>
      <xdr:col>10</xdr:col>
      <xdr:colOff>24000</xdr:colOff>
      <xdr:row>57</xdr:row>
      <xdr:rowOff>173925</xdr:rowOff>
    </xdr:to>
    <xdr:graphicFrame>
      <xdr:nvGraphicFramePr>
        <xdr:cNvPr id="4" name="Diagramm 3"/>
        <xdr:cNvGraphicFramePr/>
      </xdr:nvGraphicFramePr>
      <xdr:xfrm>
        <a:off x="759460" y="8534400"/>
        <a:ext cx="6858635" cy="380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0.21848</cdr:x>
      <cdr:y>0.1927</cdr:y>
    </cdr:from>
    <cdr:to>
      <cdr:x>0.4433</cdr:x>
      <cdr:y>0.27402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337128" y="769328"/>
          <a:ext cx="1375898" cy="324662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1</xdr:row>
      <xdr:rowOff>95250</xdr:rowOff>
    </xdr:from>
    <xdr:to>
      <xdr:col>8</xdr:col>
      <xdr:colOff>633600</xdr:colOff>
      <xdr:row>22</xdr:row>
      <xdr:rowOff>87150</xdr:rowOff>
    </xdr:to>
    <xdr:graphicFrame>
      <xdr:nvGraphicFramePr>
        <xdr:cNvPr id="2" name="Diagramm 1"/>
        <xdr:cNvGraphicFramePr/>
      </xdr:nvGraphicFramePr>
      <xdr:xfrm>
        <a:off x="609600" y="308610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9</xdr:col>
      <xdr:colOff>24938</xdr:colOff>
      <xdr:row>39</xdr:row>
      <xdr:rowOff>112500</xdr:rowOff>
    </xdr:to>
    <xdr:graphicFrame>
      <xdr:nvGraphicFramePr>
        <xdr:cNvPr id="3" name="Diagramm 2"/>
        <xdr:cNvGraphicFramePr/>
      </xdr:nvGraphicFramePr>
      <xdr:xfrm>
        <a:off x="759460" y="512064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40</xdr:row>
      <xdr:rowOff>0</xdr:rowOff>
    </xdr:from>
    <xdr:to>
      <xdr:col>9</xdr:col>
      <xdr:colOff>24000</xdr:colOff>
      <xdr:row>55</xdr:row>
      <xdr:rowOff>112500</xdr:rowOff>
    </xdr:to>
    <xdr:graphicFrame>
      <xdr:nvGraphicFramePr>
        <xdr:cNvPr id="4" name="Diagramm 3"/>
        <xdr:cNvGraphicFramePr/>
      </xdr:nvGraphicFramePr>
      <xdr:xfrm>
        <a:off x="759460" y="853440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0.41288</cdr:x>
      <cdr:y>0.36938</cdr:y>
    </cdr:from>
    <cdr:to>
      <cdr:x>0.6377</cdr:x>
      <cdr:y>0.4507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526840" y="1474695"/>
          <a:ext cx="1375898" cy="324662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</xdr:row>
      <xdr:rowOff>85725</xdr:rowOff>
    </xdr:from>
    <xdr:to>
      <xdr:col>8</xdr:col>
      <xdr:colOff>24000</xdr:colOff>
      <xdr:row>22</xdr:row>
      <xdr:rowOff>77625</xdr:rowOff>
    </xdr:to>
    <xdr:graphicFrame>
      <xdr:nvGraphicFramePr>
        <xdr:cNvPr id="2" name="Diagramm 1"/>
        <xdr:cNvGraphicFramePr/>
      </xdr:nvGraphicFramePr>
      <xdr:xfrm>
        <a:off x="0" y="299085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38100</xdr:rowOff>
    </xdr:from>
    <xdr:to>
      <xdr:col>8</xdr:col>
      <xdr:colOff>24938</xdr:colOff>
      <xdr:row>39</xdr:row>
      <xdr:rowOff>150600</xdr:rowOff>
    </xdr:to>
    <xdr:graphicFrame>
      <xdr:nvGraphicFramePr>
        <xdr:cNvPr id="3" name="Diagramm 2"/>
        <xdr:cNvGraphicFramePr/>
      </xdr:nvGraphicFramePr>
      <xdr:xfrm>
        <a:off x="0" y="515874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39</xdr:row>
      <xdr:rowOff>142875</xdr:rowOff>
    </xdr:from>
    <xdr:to>
      <xdr:col>9</xdr:col>
      <xdr:colOff>24000</xdr:colOff>
      <xdr:row>57</xdr:row>
      <xdr:rowOff>126300</xdr:rowOff>
    </xdr:to>
    <xdr:graphicFrame>
      <xdr:nvGraphicFramePr>
        <xdr:cNvPr id="4" name="Diagramm 3"/>
        <xdr:cNvGraphicFramePr/>
      </xdr:nvGraphicFramePr>
      <xdr:xfrm>
        <a:off x="0" y="8463915"/>
        <a:ext cx="6858635" cy="38233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0.4472</cdr:x>
      <cdr:y>0.38013</cdr:y>
    </cdr:from>
    <cdr:to>
      <cdr:x>0.67202</cdr:x>
      <cdr:y>0.46145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736850" y="1517650"/>
          <a:ext cx="1375898" cy="324662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133350</xdr:rowOff>
    </xdr:from>
    <xdr:to>
      <xdr:col>8</xdr:col>
      <xdr:colOff>52575</xdr:colOff>
      <xdr:row>21</xdr:row>
      <xdr:rowOff>125250</xdr:rowOff>
    </xdr:to>
    <xdr:graphicFrame>
      <xdr:nvGraphicFramePr>
        <xdr:cNvPr id="2" name="Diagramm 1"/>
        <xdr:cNvGraphicFramePr/>
      </xdr:nvGraphicFramePr>
      <xdr:xfrm>
        <a:off x="28575" y="133350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23</xdr:row>
      <xdr:rowOff>38100</xdr:rowOff>
    </xdr:from>
    <xdr:to>
      <xdr:col>8</xdr:col>
      <xdr:colOff>71625</xdr:colOff>
      <xdr:row>38</xdr:row>
      <xdr:rowOff>150600</xdr:rowOff>
    </xdr:to>
    <xdr:graphicFrame>
      <xdr:nvGraphicFramePr>
        <xdr:cNvPr id="3" name="Diagramm 2"/>
        <xdr:cNvGraphicFramePr/>
      </xdr:nvGraphicFramePr>
      <xdr:xfrm>
        <a:off x="47625" y="494538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9</xdr:col>
      <xdr:colOff>24000</xdr:colOff>
      <xdr:row>54</xdr:row>
      <xdr:rowOff>112500</xdr:rowOff>
    </xdr:to>
    <xdr:graphicFrame>
      <xdr:nvGraphicFramePr>
        <xdr:cNvPr id="4" name="Diagramm 3"/>
        <xdr:cNvGraphicFramePr/>
      </xdr:nvGraphicFramePr>
      <xdr:xfrm>
        <a:off x="759460" y="832104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0.57908</cdr:x>
      <cdr:y>0.19083</cdr:y>
    </cdr:from>
    <cdr:to>
      <cdr:x>0.8039</cdr:x>
      <cdr:y>0.27215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543967" y="761853"/>
          <a:ext cx="1375899" cy="324662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</a:t>
          </a:r>
          <a:r>
            <a:rPr lang="de-DE" sz="1000"/>
            <a:t> [t/d]</a:t>
          </a:r>
          <a:endParaRPr lang="de-DE" sz="1000"/>
        </a:p>
      </cdr:txBody>
    </cdr:sp>
  </cdr:relSizeAnchor>
</c:userShapes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79866</xdr:rowOff>
    </xdr:to>
    <xdr:grpSp>
      <xdr:nvGrpSpPr>
        <xdr:cNvPr id="2" name="Gruppieren 1"/>
        <xdr:cNvGrpSpPr/>
      </xdr:nvGrpSpPr>
      <xdr:grpSpPr>
        <a:xfrm>
          <a:off x="21029295" y="312420"/>
          <a:ext cx="6099810" cy="4424680"/>
          <a:chOff x="9539738" y="-528531"/>
          <a:chExt cx="6669088" cy="4322638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669088" cy="43226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398023" y="561704"/>
            <a:ext cx="1759193" cy="3033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476797</xdr:colOff>
      <xdr:row>39</xdr:row>
      <xdr:rowOff>82564</xdr:rowOff>
    </xdr:to>
    <xdr:graphicFrame>
      <xdr:nvGraphicFramePr>
        <xdr:cNvPr id="5" name="Diagramm 4"/>
        <xdr:cNvGraphicFramePr/>
      </xdr:nvGraphicFramePr>
      <xdr:xfrm>
        <a:off x="6059170" y="5031105"/>
        <a:ext cx="6094730" cy="3338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18</xdr:col>
      <xdr:colOff>158310</xdr:colOff>
      <xdr:row>62</xdr:row>
      <xdr:rowOff>116182</xdr:rowOff>
    </xdr:to>
    <xdr:graphicFrame>
      <xdr:nvGraphicFramePr>
        <xdr:cNvPr id="6" name="Diagramm 5"/>
        <xdr:cNvGraphicFramePr/>
      </xdr:nvGraphicFramePr>
      <xdr:xfrm>
        <a:off x="8773795" y="10847705"/>
        <a:ext cx="6099810" cy="3317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79866</xdr:rowOff>
    </xdr:to>
    <xdr:grpSp>
      <xdr:nvGrpSpPr>
        <xdr:cNvPr id="2" name="Gruppieren 1"/>
        <xdr:cNvGrpSpPr/>
      </xdr:nvGrpSpPr>
      <xdr:grpSpPr>
        <a:xfrm>
          <a:off x="21029295" y="312420"/>
          <a:ext cx="6099810" cy="4424680"/>
          <a:chOff x="9539738" y="-528531"/>
          <a:chExt cx="6881667" cy="4343541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881667" cy="4343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0492899" y="328072"/>
            <a:ext cx="1815268" cy="3048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476797</xdr:colOff>
      <xdr:row>39</xdr:row>
      <xdr:rowOff>82564</xdr:rowOff>
    </xdr:to>
    <xdr:graphicFrame>
      <xdr:nvGraphicFramePr>
        <xdr:cNvPr id="5" name="Diagramm 4"/>
        <xdr:cNvGraphicFramePr/>
      </xdr:nvGraphicFramePr>
      <xdr:xfrm>
        <a:off x="6059170" y="5031105"/>
        <a:ext cx="6094730" cy="3338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18</xdr:col>
      <xdr:colOff>158310</xdr:colOff>
      <xdr:row>62</xdr:row>
      <xdr:rowOff>116182</xdr:rowOff>
    </xdr:to>
    <xdr:graphicFrame>
      <xdr:nvGraphicFramePr>
        <xdr:cNvPr id="6" name="Diagramm 5"/>
        <xdr:cNvGraphicFramePr/>
      </xdr:nvGraphicFramePr>
      <xdr:xfrm>
        <a:off x="8773795" y="10847705"/>
        <a:ext cx="6099810" cy="3317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79866</xdr:rowOff>
    </xdr:to>
    <xdr:grpSp>
      <xdr:nvGrpSpPr>
        <xdr:cNvPr id="2" name="Gruppieren 1"/>
        <xdr:cNvGrpSpPr/>
      </xdr:nvGrpSpPr>
      <xdr:grpSpPr>
        <a:xfrm>
          <a:off x="21029295" y="312420"/>
          <a:ext cx="6099810" cy="4424680"/>
          <a:chOff x="9539738" y="-528531"/>
          <a:chExt cx="6669088" cy="4322638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669088" cy="43226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117165" y="670899"/>
            <a:ext cx="1759193" cy="3033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469891</xdr:colOff>
      <xdr:row>38</xdr:row>
      <xdr:rowOff>115414</xdr:rowOff>
    </xdr:to>
    <xdr:graphicFrame>
      <xdr:nvGraphicFramePr>
        <xdr:cNvPr id="5" name="Diagramm 4"/>
        <xdr:cNvGraphicFramePr/>
      </xdr:nvGraphicFramePr>
      <xdr:xfrm>
        <a:off x="6059170" y="5031105"/>
        <a:ext cx="6087745" cy="31578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79866</xdr:rowOff>
    </xdr:to>
    <xdr:grpSp>
      <xdr:nvGrpSpPr>
        <xdr:cNvPr id="2" name="Gruppieren 1"/>
        <xdr:cNvGrpSpPr/>
      </xdr:nvGrpSpPr>
      <xdr:grpSpPr>
        <a:xfrm>
          <a:off x="21029295" y="312420"/>
          <a:ext cx="6099810" cy="4424680"/>
          <a:chOff x="9539738" y="-528531"/>
          <a:chExt cx="6669088" cy="4322638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669088" cy="43226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630039" y="634502"/>
            <a:ext cx="1759193" cy="3033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476797</xdr:colOff>
      <xdr:row>39</xdr:row>
      <xdr:rowOff>82564</xdr:rowOff>
    </xdr:to>
    <xdr:graphicFrame>
      <xdr:nvGraphicFramePr>
        <xdr:cNvPr id="5" name="Diagramm 4"/>
        <xdr:cNvGraphicFramePr/>
      </xdr:nvGraphicFramePr>
      <xdr:xfrm>
        <a:off x="6059170" y="5031105"/>
        <a:ext cx="6094730" cy="3338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19</xdr:col>
      <xdr:colOff>158310</xdr:colOff>
      <xdr:row>63</xdr:row>
      <xdr:rowOff>368107</xdr:rowOff>
    </xdr:to>
    <xdr:graphicFrame>
      <xdr:nvGraphicFramePr>
        <xdr:cNvPr id="6" name="Diagramm 5"/>
        <xdr:cNvGraphicFramePr/>
      </xdr:nvGraphicFramePr>
      <xdr:xfrm>
        <a:off x="8773795" y="10847705"/>
        <a:ext cx="6859270" cy="3783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79866</xdr:rowOff>
    </xdr:to>
    <xdr:grpSp>
      <xdr:nvGrpSpPr>
        <xdr:cNvPr id="2" name="Gruppieren 1"/>
        <xdr:cNvGrpSpPr/>
      </xdr:nvGrpSpPr>
      <xdr:grpSpPr>
        <a:xfrm>
          <a:off x="21029295" y="312420"/>
          <a:ext cx="6099810" cy="4424680"/>
          <a:chOff x="9539738" y="-528531"/>
          <a:chExt cx="6669088" cy="3940177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669088" cy="394017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0711545" y="122652"/>
            <a:ext cx="1759193" cy="2765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469891</xdr:colOff>
      <xdr:row>38</xdr:row>
      <xdr:rowOff>115414</xdr:rowOff>
    </xdr:to>
    <xdr:graphicFrame>
      <xdr:nvGraphicFramePr>
        <xdr:cNvPr id="5" name="Diagramm 4"/>
        <xdr:cNvGraphicFramePr/>
      </xdr:nvGraphicFramePr>
      <xdr:xfrm>
        <a:off x="6059170" y="5031105"/>
        <a:ext cx="6087745" cy="31578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19</xdr:col>
      <xdr:colOff>158310</xdr:colOff>
      <xdr:row>63</xdr:row>
      <xdr:rowOff>368107</xdr:rowOff>
    </xdr:to>
    <xdr:graphicFrame>
      <xdr:nvGraphicFramePr>
        <xdr:cNvPr id="6" name="Diagramm 5"/>
        <xdr:cNvGraphicFramePr/>
      </xdr:nvGraphicFramePr>
      <xdr:xfrm>
        <a:off x="8773795" y="10847705"/>
        <a:ext cx="6859270" cy="3783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79866</xdr:rowOff>
    </xdr:to>
    <xdr:grpSp>
      <xdr:nvGrpSpPr>
        <xdr:cNvPr id="2" name="Gruppieren 1"/>
        <xdr:cNvGrpSpPr/>
      </xdr:nvGrpSpPr>
      <xdr:grpSpPr>
        <a:xfrm>
          <a:off x="21029295" y="312420"/>
          <a:ext cx="6099810" cy="4424680"/>
          <a:chOff x="9539738" y="-528531"/>
          <a:chExt cx="6669088" cy="4322638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669088" cy="43226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568982" y="731564"/>
            <a:ext cx="1759193" cy="3033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469891</xdr:colOff>
      <xdr:row>39</xdr:row>
      <xdr:rowOff>82564</xdr:rowOff>
    </xdr:to>
    <xdr:graphicFrame>
      <xdr:nvGraphicFramePr>
        <xdr:cNvPr id="5" name="Diagramm 4"/>
        <xdr:cNvGraphicFramePr/>
      </xdr:nvGraphicFramePr>
      <xdr:xfrm>
        <a:off x="6059170" y="5031105"/>
        <a:ext cx="6087745" cy="3338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18</xdr:col>
      <xdr:colOff>158310</xdr:colOff>
      <xdr:row>62</xdr:row>
      <xdr:rowOff>116182</xdr:rowOff>
    </xdr:to>
    <xdr:graphicFrame>
      <xdr:nvGraphicFramePr>
        <xdr:cNvPr id="6" name="Diagramm 5"/>
        <xdr:cNvGraphicFramePr/>
      </xdr:nvGraphicFramePr>
      <xdr:xfrm>
        <a:off x="8773795" y="10847705"/>
        <a:ext cx="6099810" cy="3317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238689</xdr:colOff>
      <xdr:row>1</xdr:row>
      <xdr:rowOff>99172</xdr:rowOff>
    </xdr:from>
    <xdr:to>
      <xdr:col>34</xdr:col>
      <xdr:colOff>262689</xdr:colOff>
      <xdr:row>22</xdr:row>
      <xdr:rowOff>79866</xdr:rowOff>
    </xdr:to>
    <xdr:grpSp>
      <xdr:nvGrpSpPr>
        <xdr:cNvPr id="2" name="Gruppieren 1"/>
        <xdr:cNvGrpSpPr/>
      </xdr:nvGrpSpPr>
      <xdr:grpSpPr>
        <a:xfrm>
          <a:off x="21029295" y="312420"/>
          <a:ext cx="6099810" cy="4424680"/>
          <a:chOff x="9539738" y="-528531"/>
          <a:chExt cx="6669088" cy="4322638"/>
        </a:xfrm>
      </xdr:grpSpPr>
      <xdr:graphicFrame>
        <xdr:nvGraphicFramePr>
          <xdr:cNvPr id="3" name="Diagramm 2"/>
          <xdr:cNvGraphicFramePr/>
        </xdr:nvGraphicFramePr>
        <xdr:xfrm>
          <a:off x="9539738" y="-528531"/>
          <a:ext cx="6669088" cy="43226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feld 3"/>
          <xdr:cNvSpPr txBox="1"/>
        </xdr:nvSpPr>
        <xdr:spPr>
          <a:xfrm>
            <a:off x="13153799" y="1010618"/>
            <a:ext cx="1759193" cy="3033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200"/>
              <a:t>Fütterungsmenge [t/d]</a:t>
            </a:r>
            <a:endParaRPr lang="de-DE" sz="1200"/>
          </a:p>
        </xdr:txBody>
      </xdr:sp>
    </xdr:grpSp>
    <xdr:clientData/>
  </xdr:twoCellAnchor>
  <xdr:twoCellAnchor>
    <xdr:from>
      <xdr:col>7</xdr:col>
      <xdr:colOff>83003</xdr:colOff>
      <xdr:row>23</xdr:row>
      <xdr:rowOff>160564</xdr:rowOff>
    </xdr:from>
    <xdr:to>
      <xdr:col>14</xdr:col>
      <xdr:colOff>476797</xdr:colOff>
      <xdr:row>39</xdr:row>
      <xdr:rowOff>82564</xdr:rowOff>
    </xdr:to>
    <xdr:graphicFrame>
      <xdr:nvGraphicFramePr>
        <xdr:cNvPr id="5" name="Diagramm 4"/>
        <xdr:cNvGraphicFramePr/>
      </xdr:nvGraphicFramePr>
      <xdr:xfrm>
        <a:off x="6059170" y="5031105"/>
        <a:ext cx="6094730" cy="3338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134310</xdr:colOff>
      <xdr:row>47</xdr:row>
      <xdr:rowOff>194182</xdr:rowOff>
    </xdr:from>
    <xdr:to>
      <xdr:col>18</xdr:col>
      <xdr:colOff>158310</xdr:colOff>
      <xdr:row>62</xdr:row>
      <xdr:rowOff>116182</xdr:rowOff>
    </xdr:to>
    <xdr:graphicFrame>
      <xdr:nvGraphicFramePr>
        <xdr:cNvPr id="6" name="Diagramm 5"/>
        <xdr:cNvGraphicFramePr/>
      </xdr:nvGraphicFramePr>
      <xdr:xfrm>
        <a:off x="8773795" y="10847705"/>
        <a:ext cx="6099810" cy="3317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386195</xdr:colOff>
      <xdr:row>3</xdr:row>
      <xdr:rowOff>96982</xdr:rowOff>
    </xdr:from>
    <xdr:to>
      <xdr:col>19</xdr:col>
      <xdr:colOff>410195</xdr:colOff>
      <xdr:row>23</xdr:row>
      <xdr:rowOff>88882</xdr:rowOff>
    </xdr:to>
    <xdr:graphicFrame>
      <xdr:nvGraphicFramePr>
        <xdr:cNvPr id="2" name="Diagramm 1"/>
        <xdr:cNvGraphicFramePr/>
      </xdr:nvGraphicFramePr>
      <xdr:xfrm>
        <a:off x="9741535" y="736600"/>
        <a:ext cx="6099175" cy="4477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830543</xdr:colOff>
      <xdr:row>3</xdr:row>
      <xdr:rowOff>69270</xdr:rowOff>
    </xdr:from>
    <xdr:to>
      <xdr:col>32</xdr:col>
      <xdr:colOff>328836</xdr:colOff>
      <xdr:row>29</xdr:row>
      <xdr:rowOff>81397</xdr:rowOff>
    </xdr:to>
    <xdr:graphicFrame>
      <xdr:nvGraphicFramePr>
        <xdr:cNvPr id="3" name="Diagramm 2"/>
        <xdr:cNvGraphicFramePr/>
      </xdr:nvGraphicFramePr>
      <xdr:xfrm>
        <a:off x="18468975" y="709295"/>
        <a:ext cx="7163435" cy="5777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48</xdr:row>
      <xdr:rowOff>41565</xdr:rowOff>
    </xdr:from>
    <xdr:to>
      <xdr:col>22</xdr:col>
      <xdr:colOff>51709</xdr:colOff>
      <xdr:row>63</xdr:row>
      <xdr:rowOff>164400</xdr:rowOff>
    </xdr:to>
    <xdr:graphicFrame>
      <xdr:nvGraphicFramePr>
        <xdr:cNvPr id="4" name="Diagramm 3"/>
        <xdr:cNvGraphicFramePr/>
      </xdr:nvGraphicFramePr>
      <xdr:xfrm>
        <a:off x="11633835" y="11762740"/>
        <a:ext cx="6127115" cy="3322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781050</xdr:colOff>
      <xdr:row>28</xdr:row>
      <xdr:rowOff>104775</xdr:rowOff>
    </xdr:from>
    <xdr:to>
      <xdr:col>13</xdr:col>
      <xdr:colOff>151907</xdr:colOff>
      <xdr:row>43</xdr:row>
      <xdr:rowOff>190061</xdr:rowOff>
    </xdr:to>
    <xdr:graphicFrame>
      <xdr:nvGraphicFramePr>
        <xdr:cNvPr id="5" name="Diagramm 4"/>
        <xdr:cNvGraphicFramePr/>
      </xdr:nvGraphicFramePr>
      <xdr:xfrm>
        <a:off x="4952365" y="6297295"/>
        <a:ext cx="6073775" cy="3304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0.09433</cdr:x>
      <cdr:y>0.21123</cdr:y>
    </cdr:from>
    <cdr:to>
      <cdr:x>0.24425</cdr:x>
      <cdr:y>0.25282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746125" y="1089025"/>
          <a:ext cx="1185899" cy="214437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10</xdr:col>
      <xdr:colOff>0</xdr:colOff>
      <xdr:row>3</xdr:row>
      <xdr:rowOff>190500</xdr:rowOff>
    </xdr:from>
    <xdr:ext cx="1462131" cy="3048492"/>
    <xdr:pic>
      <xdr:nvPicPr>
        <xdr:cNvPr id="2" name="Grafik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13065" y="1049020"/>
          <a:ext cx="1461770" cy="3048000"/>
        </a:xfrm>
        <a:prstGeom prst="rect">
          <a:avLst/>
        </a:prstGeom>
      </xdr:spPr>
    </xdr:pic>
    <xdr:clientData/>
  </xdr:oneCellAnchor>
  <xdr:twoCellAnchor>
    <xdr:from>
      <xdr:col>12</xdr:col>
      <xdr:colOff>143436</xdr:colOff>
      <xdr:row>1</xdr:row>
      <xdr:rowOff>78442</xdr:rowOff>
    </xdr:from>
    <xdr:to>
      <xdr:col>20</xdr:col>
      <xdr:colOff>167436</xdr:colOff>
      <xdr:row>19</xdr:row>
      <xdr:rowOff>70342</xdr:rowOff>
    </xdr:to>
    <xdr:graphicFrame>
      <xdr:nvGraphicFramePr>
        <xdr:cNvPr id="3" name="Diagramm 2"/>
        <xdr:cNvGraphicFramePr/>
      </xdr:nvGraphicFramePr>
      <xdr:xfrm>
        <a:off x="9674860" y="291465"/>
        <a:ext cx="6099810" cy="42691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</xdr:colOff>
      <xdr:row>40</xdr:row>
      <xdr:rowOff>1057275</xdr:rowOff>
    </xdr:from>
    <xdr:to>
      <xdr:col>21</xdr:col>
      <xdr:colOff>62100</xdr:colOff>
      <xdr:row>55</xdr:row>
      <xdr:rowOff>26775</xdr:rowOff>
    </xdr:to>
    <xdr:graphicFrame>
      <xdr:nvGraphicFramePr>
        <xdr:cNvPr id="4" name="Diagramm 3"/>
        <xdr:cNvGraphicFramePr/>
      </xdr:nvGraphicFramePr>
      <xdr:xfrm>
        <a:off x="10329545" y="10266045"/>
        <a:ext cx="6099175" cy="3241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761999</xdr:colOff>
      <xdr:row>22</xdr:row>
      <xdr:rowOff>0</xdr:rowOff>
    </xdr:from>
    <xdr:to>
      <xdr:col>15</xdr:col>
      <xdr:colOff>23999</xdr:colOff>
      <xdr:row>37</xdr:row>
      <xdr:rowOff>102975</xdr:rowOff>
    </xdr:to>
    <xdr:graphicFrame>
      <xdr:nvGraphicFramePr>
        <xdr:cNvPr id="5" name="Diagramm 4"/>
        <xdr:cNvGraphicFramePr/>
      </xdr:nvGraphicFramePr>
      <xdr:xfrm>
        <a:off x="5734685" y="5130800"/>
        <a:ext cx="6099175" cy="3531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0.13315</cdr:x>
      <cdr:y>0.27648</cdr:y>
    </cdr:from>
    <cdr:to>
      <cdr:x>0.27672</cdr:x>
      <cdr:y>0.31791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850900" y="1108075"/>
          <a:ext cx="917510" cy="166044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555171</xdr:colOff>
      <xdr:row>1</xdr:row>
      <xdr:rowOff>20782</xdr:rowOff>
    </xdr:from>
    <xdr:to>
      <xdr:col>19</xdr:col>
      <xdr:colOff>579171</xdr:colOff>
      <xdr:row>22</xdr:row>
      <xdr:rowOff>12682</xdr:rowOff>
    </xdr:to>
    <xdr:graphicFrame>
      <xdr:nvGraphicFramePr>
        <xdr:cNvPr id="2" name="Diagramm 1"/>
        <xdr:cNvGraphicFramePr/>
      </xdr:nvGraphicFramePr>
      <xdr:xfrm>
        <a:off x="9745345" y="233680"/>
        <a:ext cx="6099810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830543</xdr:colOff>
      <xdr:row>3</xdr:row>
      <xdr:rowOff>69270</xdr:rowOff>
    </xdr:from>
    <xdr:to>
      <xdr:col>32</xdr:col>
      <xdr:colOff>328836</xdr:colOff>
      <xdr:row>29</xdr:row>
      <xdr:rowOff>81397</xdr:rowOff>
    </xdr:to>
    <xdr:graphicFrame>
      <xdr:nvGraphicFramePr>
        <xdr:cNvPr id="3" name="Diagramm 2"/>
        <xdr:cNvGraphicFramePr/>
      </xdr:nvGraphicFramePr>
      <xdr:xfrm>
        <a:off x="18303875" y="709295"/>
        <a:ext cx="7163435" cy="5777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48</xdr:row>
      <xdr:rowOff>41565</xdr:rowOff>
    </xdr:from>
    <xdr:to>
      <xdr:col>22</xdr:col>
      <xdr:colOff>24000</xdr:colOff>
      <xdr:row>63</xdr:row>
      <xdr:rowOff>154065</xdr:rowOff>
    </xdr:to>
    <xdr:graphicFrame>
      <xdr:nvGraphicFramePr>
        <xdr:cNvPr id="4" name="Diagramm 3"/>
        <xdr:cNvGraphicFramePr/>
      </xdr:nvGraphicFramePr>
      <xdr:xfrm>
        <a:off x="11468735" y="1176274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28</xdr:row>
      <xdr:rowOff>19050</xdr:rowOff>
    </xdr:from>
    <xdr:to>
      <xdr:col>13</xdr:col>
      <xdr:colOff>249137</xdr:colOff>
      <xdr:row>43</xdr:row>
      <xdr:rowOff>96914</xdr:rowOff>
    </xdr:to>
    <xdr:graphicFrame>
      <xdr:nvGraphicFramePr>
        <xdr:cNvPr id="5" name="Diagramm 4"/>
        <xdr:cNvGraphicFramePr/>
      </xdr:nvGraphicFramePr>
      <xdr:xfrm>
        <a:off x="4897755" y="6211570"/>
        <a:ext cx="6060440" cy="3296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0.24224</cdr:x>
      <cdr:y>0.08418</cdr:y>
    </cdr:from>
    <cdr:to>
      <cdr:x>0.35332</cdr:x>
      <cdr:y>0.11626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482502" y="336065"/>
          <a:ext cx="679815" cy="128087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0</xdr:colOff>
      <xdr:row>1</xdr:row>
      <xdr:rowOff>0</xdr:rowOff>
    </xdr:from>
    <xdr:to>
      <xdr:col>18</xdr:col>
      <xdr:colOff>24000</xdr:colOff>
      <xdr:row>18</xdr:row>
      <xdr:rowOff>182400</xdr:rowOff>
    </xdr:to>
    <xdr:graphicFrame>
      <xdr:nvGraphicFramePr>
        <xdr:cNvPr id="5" name="Diagramm 4"/>
        <xdr:cNvGraphicFramePr/>
      </xdr:nvGraphicFramePr>
      <xdr:xfrm>
        <a:off x="8013065" y="213360"/>
        <a:ext cx="6099175" cy="42462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379981</xdr:colOff>
      <xdr:row>40</xdr:row>
      <xdr:rowOff>695887</xdr:rowOff>
    </xdr:from>
    <xdr:to>
      <xdr:col>21</xdr:col>
      <xdr:colOff>403981</xdr:colOff>
      <xdr:row>54</xdr:row>
      <xdr:rowOff>35181</xdr:rowOff>
    </xdr:to>
    <xdr:graphicFrame>
      <xdr:nvGraphicFramePr>
        <xdr:cNvPr id="6" name="Diagramm 5"/>
        <xdr:cNvGraphicFramePr/>
      </xdr:nvGraphicFramePr>
      <xdr:xfrm>
        <a:off x="10671175" y="9904095"/>
        <a:ext cx="6099810" cy="3003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9779</xdr:colOff>
      <xdr:row>22</xdr:row>
      <xdr:rowOff>107577</xdr:rowOff>
    </xdr:from>
    <xdr:to>
      <xdr:col>16</xdr:col>
      <xdr:colOff>33779</xdr:colOff>
      <xdr:row>38</xdr:row>
      <xdr:rowOff>2071</xdr:rowOff>
    </xdr:to>
    <xdr:graphicFrame>
      <xdr:nvGraphicFramePr>
        <xdr:cNvPr id="7" name="Diagramm 6"/>
        <xdr:cNvGraphicFramePr/>
      </xdr:nvGraphicFramePr>
      <xdr:xfrm>
        <a:off x="6503670" y="5238115"/>
        <a:ext cx="6099810" cy="354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0.21844</cdr:x>
      <cdr:y>0.09541</cdr:y>
    </cdr:from>
    <cdr:to>
      <cdr:x>0.32952</cdr:x>
      <cdr:y>0.12749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336832" y="380903"/>
          <a:ext cx="679809" cy="128076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103168</xdr:colOff>
      <xdr:row>1</xdr:row>
      <xdr:rowOff>83994</xdr:rowOff>
    </xdr:from>
    <xdr:to>
      <xdr:col>18</xdr:col>
      <xdr:colOff>767941</xdr:colOff>
      <xdr:row>22</xdr:row>
      <xdr:rowOff>75894</xdr:rowOff>
    </xdr:to>
    <xdr:graphicFrame>
      <xdr:nvGraphicFramePr>
        <xdr:cNvPr id="2" name="Diagramm 1"/>
        <xdr:cNvGraphicFramePr/>
      </xdr:nvGraphicFramePr>
      <xdr:xfrm>
        <a:off x="9293225" y="297180"/>
        <a:ext cx="5972810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830543</xdr:colOff>
      <xdr:row>3</xdr:row>
      <xdr:rowOff>69270</xdr:rowOff>
    </xdr:from>
    <xdr:to>
      <xdr:col>32</xdr:col>
      <xdr:colOff>328836</xdr:colOff>
      <xdr:row>29</xdr:row>
      <xdr:rowOff>81397</xdr:rowOff>
    </xdr:to>
    <xdr:graphicFrame>
      <xdr:nvGraphicFramePr>
        <xdr:cNvPr id="3" name="Diagramm 2"/>
        <xdr:cNvGraphicFramePr/>
      </xdr:nvGraphicFramePr>
      <xdr:xfrm>
        <a:off x="18303875" y="709295"/>
        <a:ext cx="7163435" cy="5777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10391</xdr:colOff>
      <xdr:row>49</xdr:row>
      <xdr:rowOff>124692</xdr:rowOff>
    </xdr:from>
    <xdr:to>
      <xdr:col>20</xdr:col>
      <xdr:colOff>675164</xdr:colOff>
      <xdr:row>64</xdr:row>
      <xdr:rowOff>12056</xdr:rowOff>
    </xdr:to>
    <xdr:graphicFrame>
      <xdr:nvGraphicFramePr>
        <xdr:cNvPr id="4" name="Diagramm 3"/>
        <xdr:cNvGraphicFramePr/>
      </xdr:nvGraphicFramePr>
      <xdr:xfrm>
        <a:off x="10719435" y="12105005"/>
        <a:ext cx="5981065" cy="3087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900544</xdr:colOff>
      <xdr:row>28</xdr:row>
      <xdr:rowOff>0</xdr:rowOff>
    </xdr:from>
    <xdr:to>
      <xdr:col>13</xdr:col>
      <xdr:colOff>197181</xdr:colOff>
      <xdr:row>43</xdr:row>
      <xdr:rowOff>77864</xdr:rowOff>
    </xdr:to>
    <xdr:graphicFrame>
      <xdr:nvGraphicFramePr>
        <xdr:cNvPr id="5" name="Diagramm 4"/>
        <xdr:cNvGraphicFramePr/>
      </xdr:nvGraphicFramePr>
      <xdr:xfrm>
        <a:off x="4897755" y="6192520"/>
        <a:ext cx="6008370" cy="3296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0.26721</cdr:x>
      <cdr:y>0.25123</cdr:y>
    </cdr:from>
    <cdr:to>
      <cdr:x>0.43648</cdr:x>
      <cdr:y>0.31129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635299" y="1003020"/>
          <a:ext cx="1035932" cy="239783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555172</xdr:colOff>
      <xdr:row>1</xdr:row>
      <xdr:rowOff>20782</xdr:rowOff>
    </xdr:from>
    <xdr:to>
      <xdr:col>19</xdr:col>
      <xdr:colOff>470315</xdr:colOff>
      <xdr:row>22</xdr:row>
      <xdr:rowOff>12682</xdr:rowOff>
    </xdr:to>
    <xdr:graphicFrame>
      <xdr:nvGraphicFramePr>
        <xdr:cNvPr id="2" name="Diagramm 1"/>
        <xdr:cNvGraphicFramePr/>
      </xdr:nvGraphicFramePr>
      <xdr:xfrm>
        <a:off x="9745345" y="233680"/>
        <a:ext cx="5990590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830543</xdr:colOff>
      <xdr:row>3</xdr:row>
      <xdr:rowOff>69270</xdr:rowOff>
    </xdr:from>
    <xdr:to>
      <xdr:col>32</xdr:col>
      <xdr:colOff>328836</xdr:colOff>
      <xdr:row>29</xdr:row>
      <xdr:rowOff>81397</xdr:rowOff>
    </xdr:to>
    <xdr:graphicFrame>
      <xdr:nvGraphicFramePr>
        <xdr:cNvPr id="3" name="Diagramm 2"/>
        <xdr:cNvGraphicFramePr/>
      </xdr:nvGraphicFramePr>
      <xdr:xfrm>
        <a:off x="18303875" y="709295"/>
        <a:ext cx="7163435" cy="5777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48</xdr:row>
      <xdr:rowOff>41565</xdr:rowOff>
    </xdr:from>
    <xdr:to>
      <xdr:col>22</xdr:col>
      <xdr:colOff>51709</xdr:colOff>
      <xdr:row>63</xdr:row>
      <xdr:rowOff>164400</xdr:rowOff>
    </xdr:to>
    <xdr:graphicFrame>
      <xdr:nvGraphicFramePr>
        <xdr:cNvPr id="4" name="Diagramm 3"/>
        <xdr:cNvGraphicFramePr/>
      </xdr:nvGraphicFramePr>
      <xdr:xfrm>
        <a:off x="11468735" y="11762740"/>
        <a:ext cx="6127115" cy="3322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898070</xdr:colOff>
      <xdr:row>27</xdr:row>
      <xdr:rowOff>0</xdr:rowOff>
    </xdr:from>
    <xdr:to>
      <xdr:col>13</xdr:col>
      <xdr:colOff>228106</xdr:colOff>
      <xdr:row>42</xdr:row>
      <xdr:rowOff>85286</xdr:rowOff>
    </xdr:to>
    <xdr:graphicFrame>
      <xdr:nvGraphicFramePr>
        <xdr:cNvPr id="5" name="Diagramm 4"/>
        <xdr:cNvGraphicFramePr/>
      </xdr:nvGraphicFramePr>
      <xdr:xfrm>
        <a:off x="4897755" y="5979160"/>
        <a:ext cx="6039485" cy="3304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0.25961</cdr:x>
      <cdr:y>0.27572</cdr:y>
    </cdr:from>
    <cdr:to>
      <cdr:x>0.42888</cdr:x>
      <cdr:y>0.33578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588793" y="1100785"/>
          <a:ext cx="1035932" cy="239783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628649</xdr:colOff>
      <xdr:row>28</xdr:row>
      <xdr:rowOff>133350</xdr:rowOff>
    </xdr:from>
    <xdr:to>
      <xdr:col>16</xdr:col>
      <xdr:colOff>652649</xdr:colOff>
      <xdr:row>40</xdr:row>
      <xdr:rowOff>782714</xdr:rowOff>
    </xdr:to>
    <xdr:graphicFrame>
      <xdr:nvGraphicFramePr>
        <xdr:cNvPr id="2" name="Diagramm 1"/>
        <xdr:cNvGraphicFramePr/>
      </xdr:nvGraphicFramePr>
      <xdr:xfrm>
        <a:off x="7122160" y="6762750"/>
        <a:ext cx="6099810" cy="322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15</xdr:col>
      <xdr:colOff>24000</xdr:colOff>
      <xdr:row>21</xdr:row>
      <xdr:rowOff>182400</xdr:rowOff>
    </xdr:to>
    <xdr:graphicFrame>
      <xdr:nvGraphicFramePr>
        <xdr:cNvPr id="3" name="Diagramm 2"/>
        <xdr:cNvGraphicFramePr/>
      </xdr:nvGraphicFramePr>
      <xdr:xfrm>
        <a:off x="5734685" y="645160"/>
        <a:ext cx="6099175" cy="4454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21</xdr:col>
      <xdr:colOff>24000</xdr:colOff>
      <xdr:row>55</xdr:row>
      <xdr:rowOff>147137</xdr:rowOff>
    </xdr:to>
    <xdr:graphicFrame>
      <xdr:nvGraphicFramePr>
        <xdr:cNvPr id="4" name="Diagramm 3"/>
        <xdr:cNvGraphicFramePr/>
      </xdr:nvGraphicFramePr>
      <xdr:xfrm>
        <a:off x="10291445" y="10123170"/>
        <a:ext cx="6099175" cy="3109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0.10891</cdr:x>
      <cdr:y>0.16789</cdr:y>
    </cdr:from>
    <cdr:to>
      <cdr:x>0.27818</cdr:x>
      <cdr:y>0.22795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947822" y="865591"/>
          <a:ext cx="1473179" cy="309647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24000</xdr:colOff>
      <xdr:row>20</xdr:row>
      <xdr:rowOff>182400</xdr:rowOff>
    </xdr:to>
    <xdr:graphicFrame>
      <xdr:nvGraphicFramePr>
        <xdr:cNvPr id="2" name="Diagramm 1"/>
        <xdr:cNvGraphicFramePr/>
      </xdr:nvGraphicFramePr>
      <xdr:xfrm>
        <a:off x="6835140" y="213360"/>
        <a:ext cx="6099175" cy="4454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26</xdr:row>
      <xdr:rowOff>0</xdr:rowOff>
    </xdr:from>
    <xdr:to>
      <xdr:col>12</xdr:col>
      <xdr:colOff>24938</xdr:colOff>
      <xdr:row>41</xdr:row>
      <xdr:rowOff>112500</xdr:rowOff>
    </xdr:to>
    <xdr:graphicFrame>
      <xdr:nvGraphicFramePr>
        <xdr:cNvPr id="3" name="Diagramm 2"/>
        <xdr:cNvGraphicFramePr/>
      </xdr:nvGraphicFramePr>
      <xdr:xfrm>
        <a:off x="3037840" y="576580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17</xdr:col>
      <xdr:colOff>24000</xdr:colOff>
      <xdr:row>55</xdr:row>
      <xdr:rowOff>112500</xdr:rowOff>
    </xdr:to>
    <xdr:graphicFrame>
      <xdr:nvGraphicFramePr>
        <xdr:cNvPr id="4" name="Diagramm 3"/>
        <xdr:cNvGraphicFramePr/>
      </xdr:nvGraphicFramePr>
      <xdr:xfrm>
        <a:off x="6835140" y="9819640"/>
        <a:ext cx="6099175" cy="3114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0.54058</cdr:x>
      <cdr:y>0.20836</cdr:y>
    </cdr:from>
    <cdr:to>
      <cdr:x>0.80436</cdr:x>
      <cdr:y>0.27854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308350" y="831850"/>
          <a:ext cx="1614353" cy="280205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0</xdr:colOff>
      <xdr:row>1</xdr:row>
      <xdr:rowOff>0</xdr:rowOff>
    </xdr:from>
    <xdr:to>
      <xdr:col>15</xdr:col>
      <xdr:colOff>24000</xdr:colOff>
      <xdr:row>20</xdr:row>
      <xdr:rowOff>182400</xdr:rowOff>
    </xdr:to>
    <xdr:graphicFrame>
      <xdr:nvGraphicFramePr>
        <xdr:cNvPr id="2" name="Diagramm 1"/>
        <xdr:cNvGraphicFramePr/>
      </xdr:nvGraphicFramePr>
      <xdr:xfrm>
        <a:off x="5316220" y="213360"/>
        <a:ext cx="6099175" cy="4454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26</xdr:row>
      <xdr:rowOff>0</xdr:rowOff>
    </xdr:from>
    <xdr:to>
      <xdr:col>12</xdr:col>
      <xdr:colOff>24938</xdr:colOff>
      <xdr:row>41</xdr:row>
      <xdr:rowOff>112500</xdr:rowOff>
    </xdr:to>
    <xdr:graphicFrame>
      <xdr:nvGraphicFramePr>
        <xdr:cNvPr id="3" name="Diagramm 2"/>
        <xdr:cNvGraphicFramePr/>
      </xdr:nvGraphicFramePr>
      <xdr:xfrm>
        <a:off x="3037840" y="576580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18</xdr:col>
      <xdr:colOff>24000</xdr:colOff>
      <xdr:row>62</xdr:row>
      <xdr:rowOff>112500</xdr:rowOff>
    </xdr:to>
    <xdr:graphicFrame>
      <xdr:nvGraphicFramePr>
        <xdr:cNvPr id="4" name="Diagramm 3"/>
        <xdr:cNvGraphicFramePr/>
      </xdr:nvGraphicFramePr>
      <xdr:xfrm>
        <a:off x="7594600" y="1024636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0.56751</cdr:x>
      <cdr:y>0.32366</cdr:y>
    </cdr:from>
    <cdr:to>
      <cdr:x>0.83127</cdr:x>
      <cdr:y>0.39384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473177" y="1292199"/>
          <a:ext cx="1614200" cy="280176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476250</xdr:colOff>
      <xdr:row>0</xdr:row>
      <xdr:rowOff>123824</xdr:rowOff>
    </xdr:from>
    <xdr:to>
      <xdr:col>16</xdr:col>
      <xdr:colOff>500250</xdr:colOff>
      <xdr:row>20</xdr:row>
      <xdr:rowOff>115724</xdr:rowOff>
    </xdr:to>
    <xdr:graphicFrame>
      <xdr:nvGraphicFramePr>
        <xdr:cNvPr id="2" name="Diagramm 1"/>
        <xdr:cNvGraphicFramePr/>
      </xdr:nvGraphicFramePr>
      <xdr:xfrm>
        <a:off x="6551930" y="123190"/>
        <a:ext cx="6099175" cy="4478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666750</xdr:colOff>
      <xdr:row>22</xdr:row>
      <xdr:rowOff>104775</xdr:rowOff>
    </xdr:from>
    <xdr:to>
      <xdr:col>11</xdr:col>
      <xdr:colOff>691688</xdr:colOff>
      <xdr:row>38</xdr:row>
      <xdr:rowOff>26775</xdr:rowOff>
    </xdr:to>
    <xdr:graphicFrame>
      <xdr:nvGraphicFramePr>
        <xdr:cNvPr id="3" name="Diagramm 2"/>
        <xdr:cNvGraphicFramePr/>
      </xdr:nvGraphicFramePr>
      <xdr:xfrm>
        <a:off x="2945130" y="5017135"/>
        <a:ext cx="6100445" cy="3335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17</xdr:col>
      <xdr:colOff>24000</xdr:colOff>
      <xdr:row>56</xdr:row>
      <xdr:rowOff>112500</xdr:rowOff>
    </xdr:to>
    <xdr:graphicFrame>
      <xdr:nvGraphicFramePr>
        <xdr:cNvPr id="4" name="Diagramm 3"/>
        <xdr:cNvGraphicFramePr/>
      </xdr:nvGraphicFramePr>
      <xdr:xfrm>
        <a:off x="6835140" y="896620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0.40721</cdr:x>
      <cdr:y>0.05884</cdr:y>
    </cdr:from>
    <cdr:to>
      <cdr:x>0.67096</cdr:x>
      <cdr:y>0.12902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492102" y="234924"/>
          <a:ext cx="1614200" cy="280176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24000</xdr:colOff>
      <xdr:row>20</xdr:row>
      <xdr:rowOff>182400</xdr:rowOff>
    </xdr:to>
    <xdr:graphicFrame>
      <xdr:nvGraphicFramePr>
        <xdr:cNvPr id="2" name="Diagramm 1"/>
        <xdr:cNvGraphicFramePr/>
      </xdr:nvGraphicFramePr>
      <xdr:xfrm>
        <a:off x="6835140" y="213360"/>
        <a:ext cx="6099175" cy="4454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25</xdr:row>
      <xdr:rowOff>0</xdr:rowOff>
    </xdr:from>
    <xdr:to>
      <xdr:col>12</xdr:col>
      <xdr:colOff>24938</xdr:colOff>
      <xdr:row>40</xdr:row>
      <xdr:rowOff>112500</xdr:rowOff>
    </xdr:to>
    <xdr:graphicFrame>
      <xdr:nvGraphicFramePr>
        <xdr:cNvPr id="3" name="Diagramm 2"/>
        <xdr:cNvGraphicFramePr/>
      </xdr:nvGraphicFramePr>
      <xdr:xfrm>
        <a:off x="3037840" y="555244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44</xdr:row>
      <xdr:rowOff>0</xdr:rowOff>
    </xdr:from>
    <xdr:to>
      <xdr:col>18</xdr:col>
      <xdr:colOff>24000</xdr:colOff>
      <xdr:row>59</xdr:row>
      <xdr:rowOff>112500</xdr:rowOff>
    </xdr:to>
    <xdr:graphicFrame>
      <xdr:nvGraphicFramePr>
        <xdr:cNvPr id="4" name="Diagramm 3"/>
        <xdr:cNvGraphicFramePr/>
      </xdr:nvGraphicFramePr>
      <xdr:xfrm>
        <a:off x="7594600" y="960628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0.54952</cdr:x>
      <cdr:y>0.18131</cdr:y>
    </cdr:from>
    <cdr:to>
      <cdr:x>0.80513</cdr:x>
      <cdr:y>0.25118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470275" y="727075"/>
          <a:ext cx="1614200" cy="280176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0</xdr:colOff>
      <xdr:row>1</xdr:row>
      <xdr:rowOff>0</xdr:rowOff>
    </xdr:from>
    <xdr:to>
      <xdr:col>15</xdr:col>
      <xdr:colOff>24000</xdr:colOff>
      <xdr:row>20</xdr:row>
      <xdr:rowOff>182400</xdr:rowOff>
    </xdr:to>
    <xdr:graphicFrame>
      <xdr:nvGraphicFramePr>
        <xdr:cNvPr id="2" name="Diagramm 1"/>
        <xdr:cNvGraphicFramePr/>
      </xdr:nvGraphicFramePr>
      <xdr:xfrm>
        <a:off x="5316220" y="213360"/>
        <a:ext cx="6099175" cy="4454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27</xdr:row>
      <xdr:rowOff>0</xdr:rowOff>
    </xdr:from>
    <xdr:to>
      <xdr:col>12</xdr:col>
      <xdr:colOff>24938</xdr:colOff>
      <xdr:row>42</xdr:row>
      <xdr:rowOff>112500</xdr:rowOff>
    </xdr:to>
    <xdr:graphicFrame>
      <xdr:nvGraphicFramePr>
        <xdr:cNvPr id="3" name="Diagramm 2"/>
        <xdr:cNvGraphicFramePr/>
      </xdr:nvGraphicFramePr>
      <xdr:xfrm>
        <a:off x="3037840" y="597916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18</xdr:col>
      <xdr:colOff>24000</xdr:colOff>
      <xdr:row>61</xdr:row>
      <xdr:rowOff>112500</xdr:rowOff>
    </xdr:to>
    <xdr:graphicFrame>
      <xdr:nvGraphicFramePr>
        <xdr:cNvPr id="4" name="Diagramm 3"/>
        <xdr:cNvGraphicFramePr/>
      </xdr:nvGraphicFramePr>
      <xdr:xfrm>
        <a:off x="7594600" y="1003300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0.51879</cdr:x>
      <cdr:y>0.30379</cdr:y>
    </cdr:from>
    <cdr:to>
      <cdr:x>0.7744</cdr:x>
      <cdr:y>0.37366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175000" y="1212850"/>
          <a:ext cx="1564336" cy="278945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0</xdr:colOff>
      <xdr:row>1</xdr:row>
      <xdr:rowOff>0</xdr:rowOff>
    </xdr:from>
    <xdr:to>
      <xdr:col>15</xdr:col>
      <xdr:colOff>24000</xdr:colOff>
      <xdr:row>20</xdr:row>
      <xdr:rowOff>182400</xdr:rowOff>
    </xdr:to>
    <xdr:graphicFrame>
      <xdr:nvGraphicFramePr>
        <xdr:cNvPr id="2" name="Diagramm 1"/>
        <xdr:cNvGraphicFramePr/>
      </xdr:nvGraphicFramePr>
      <xdr:xfrm>
        <a:off x="5316220" y="213360"/>
        <a:ext cx="6099175" cy="4454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25</xdr:row>
      <xdr:rowOff>0</xdr:rowOff>
    </xdr:from>
    <xdr:to>
      <xdr:col>12</xdr:col>
      <xdr:colOff>24938</xdr:colOff>
      <xdr:row>40</xdr:row>
      <xdr:rowOff>112500</xdr:rowOff>
    </xdr:to>
    <xdr:graphicFrame>
      <xdr:nvGraphicFramePr>
        <xdr:cNvPr id="3" name="Diagramm 2"/>
        <xdr:cNvGraphicFramePr/>
      </xdr:nvGraphicFramePr>
      <xdr:xfrm>
        <a:off x="3037840" y="555244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24000</xdr:colOff>
      <xdr:row>58</xdr:row>
      <xdr:rowOff>112500</xdr:rowOff>
    </xdr:to>
    <xdr:graphicFrame>
      <xdr:nvGraphicFramePr>
        <xdr:cNvPr id="4" name="Diagramm 3"/>
        <xdr:cNvGraphicFramePr/>
      </xdr:nvGraphicFramePr>
      <xdr:xfrm>
        <a:off x="6835140" y="939292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0.50323</cdr:x>
      <cdr:y>0.32526</cdr:y>
    </cdr:from>
    <cdr:to>
      <cdr:x>0.75884</cdr:x>
      <cdr:y>0.39513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079750" y="1298575"/>
          <a:ext cx="1564336" cy="278945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0</xdr:colOff>
      <xdr:row>2</xdr:row>
      <xdr:rowOff>0</xdr:rowOff>
    </xdr:from>
    <xdr:to>
      <xdr:col>17</xdr:col>
      <xdr:colOff>24000</xdr:colOff>
      <xdr:row>21</xdr:row>
      <xdr:rowOff>182400</xdr:rowOff>
    </xdr:to>
    <xdr:graphicFrame>
      <xdr:nvGraphicFramePr>
        <xdr:cNvPr id="2" name="Diagramm 1"/>
        <xdr:cNvGraphicFramePr/>
      </xdr:nvGraphicFramePr>
      <xdr:xfrm>
        <a:off x="6835140" y="426720"/>
        <a:ext cx="6099175" cy="4454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27</xdr:row>
      <xdr:rowOff>9525</xdr:rowOff>
    </xdr:from>
    <xdr:to>
      <xdr:col>12</xdr:col>
      <xdr:colOff>501188</xdr:colOff>
      <xdr:row>42</xdr:row>
      <xdr:rowOff>122025</xdr:rowOff>
    </xdr:to>
    <xdr:graphicFrame>
      <xdr:nvGraphicFramePr>
        <xdr:cNvPr id="3" name="Diagramm 2"/>
        <xdr:cNvGraphicFramePr/>
      </xdr:nvGraphicFramePr>
      <xdr:xfrm>
        <a:off x="3514090" y="5988685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0.31491</cdr:x>
      <cdr:y>0.23937</cdr:y>
    </cdr:from>
    <cdr:to>
      <cdr:x>0.57052</cdr:x>
      <cdr:y>0.30924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927225" y="955675"/>
          <a:ext cx="1564336" cy="278945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</xdr:colOff>
      <xdr:row>1</xdr:row>
      <xdr:rowOff>0</xdr:rowOff>
    </xdr:from>
    <xdr:to>
      <xdr:col>8</xdr:col>
      <xdr:colOff>24001</xdr:colOff>
      <xdr:row>21</xdr:row>
      <xdr:rowOff>182400</xdr:rowOff>
    </xdr:to>
    <xdr:graphicFrame>
      <xdr:nvGraphicFramePr>
        <xdr:cNvPr id="2" name="Diagramm 1"/>
        <xdr:cNvGraphicFramePr/>
      </xdr:nvGraphicFramePr>
      <xdr:xfrm>
        <a:off x="0" y="213360"/>
        <a:ext cx="6099175" cy="4449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8</xdr:col>
      <xdr:colOff>24938</xdr:colOff>
      <xdr:row>38</xdr:row>
      <xdr:rowOff>112500</xdr:rowOff>
    </xdr:to>
    <xdr:graphicFrame>
      <xdr:nvGraphicFramePr>
        <xdr:cNvPr id="3" name="Diagramm 2"/>
        <xdr:cNvGraphicFramePr/>
      </xdr:nvGraphicFramePr>
      <xdr:xfrm>
        <a:off x="0" y="490728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8</xdr:col>
      <xdr:colOff>24000</xdr:colOff>
      <xdr:row>54</xdr:row>
      <xdr:rowOff>112500</xdr:rowOff>
    </xdr:to>
    <xdr:graphicFrame>
      <xdr:nvGraphicFramePr>
        <xdr:cNvPr id="4" name="Diagramm 3"/>
        <xdr:cNvGraphicFramePr/>
      </xdr:nvGraphicFramePr>
      <xdr:xfrm>
        <a:off x="0" y="832104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0.56745</cdr:x>
      <cdr:y>0.25716</cdr:y>
    </cdr:from>
    <cdr:to>
      <cdr:x>0.79227</cdr:x>
      <cdr:y>0.33848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472784" y="1026669"/>
          <a:ext cx="1375898" cy="324663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28575</xdr:colOff>
      <xdr:row>1</xdr:row>
      <xdr:rowOff>0</xdr:rowOff>
    </xdr:from>
    <xdr:to>
      <xdr:col>9</xdr:col>
      <xdr:colOff>52575</xdr:colOff>
      <xdr:row>21</xdr:row>
      <xdr:rowOff>182400</xdr:rowOff>
    </xdr:to>
    <xdr:graphicFrame>
      <xdr:nvGraphicFramePr>
        <xdr:cNvPr id="2" name="Diagramm 1"/>
        <xdr:cNvGraphicFramePr/>
      </xdr:nvGraphicFramePr>
      <xdr:xfrm>
        <a:off x="788035" y="213360"/>
        <a:ext cx="6099175" cy="4449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9</xdr:col>
      <xdr:colOff>24938</xdr:colOff>
      <xdr:row>38</xdr:row>
      <xdr:rowOff>112500</xdr:rowOff>
    </xdr:to>
    <xdr:graphicFrame>
      <xdr:nvGraphicFramePr>
        <xdr:cNvPr id="3" name="Diagramm 2"/>
        <xdr:cNvGraphicFramePr/>
      </xdr:nvGraphicFramePr>
      <xdr:xfrm>
        <a:off x="759460" y="490728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10</xdr:col>
      <xdr:colOff>24000</xdr:colOff>
      <xdr:row>56</xdr:row>
      <xdr:rowOff>173925</xdr:rowOff>
    </xdr:to>
    <xdr:graphicFrame>
      <xdr:nvGraphicFramePr>
        <xdr:cNvPr id="4" name="Diagramm 3"/>
        <xdr:cNvGraphicFramePr/>
      </xdr:nvGraphicFramePr>
      <xdr:xfrm>
        <a:off x="759460" y="8321040"/>
        <a:ext cx="6858635" cy="380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0.58421</cdr:x>
      <cdr:y>0.30721</cdr:y>
    </cdr:from>
    <cdr:to>
      <cdr:x>0.80209</cdr:x>
      <cdr:y>0.38817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689350" y="1231900"/>
          <a:ext cx="1375898" cy="324663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742950</xdr:colOff>
      <xdr:row>0</xdr:row>
      <xdr:rowOff>0</xdr:rowOff>
    </xdr:from>
    <xdr:to>
      <xdr:col>9</xdr:col>
      <xdr:colOff>4950</xdr:colOff>
      <xdr:row>20</xdr:row>
      <xdr:rowOff>182400</xdr:rowOff>
    </xdr:to>
    <xdr:graphicFrame>
      <xdr:nvGraphicFramePr>
        <xdr:cNvPr id="2" name="Diagramm 1"/>
        <xdr:cNvGraphicFramePr/>
      </xdr:nvGraphicFramePr>
      <xdr:xfrm>
        <a:off x="742950" y="0"/>
        <a:ext cx="6096635" cy="4449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9</xdr:col>
      <xdr:colOff>24938</xdr:colOff>
      <xdr:row>38</xdr:row>
      <xdr:rowOff>112500</xdr:rowOff>
    </xdr:to>
    <xdr:graphicFrame>
      <xdr:nvGraphicFramePr>
        <xdr:cNvPr id="3" name="Diagramm 2"/>
        <xdr:cNvGraphicFramePr/>
      </xdr:nvGraphicFramePr>
      <xdr:xfrm>
        <a:off x="759460" y="490728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10</xdr:col>
      <xdr:colOff>24000</xdr:colOff>
      <xdr:row>56</xdr:row>
      <xdr:rowOff>173925</xdr:rowOff>
    </xdr:to>
    <xdr:graphicFrame>
      <xdr:nvGraphicFramePr>
        <xdr:cNvPr id="4" name="Diagramm 3"/>
        <xdr:cNvGraphicFramePr/>
      </xdr:nvGraphicFramePr>
      <xdr:xfrm>
        <a:off x="759460" y="8321040"/>
        <a:ext cx="6858635" cy="380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0.58375</cdr:x>
      <cdr:y>0.24304</cdr:y>
    </cdr:from>
    <cdr:to>
      <cdr:x>0.80857</cdr:x>
      <cdr:y>0.32436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572542" y="970323"/>
          <a:ext cx="1375899" cy="324662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228600</xdr:colOff>
      <xdr:row>0</xdr:row>
      <xdr:rowOff>133350</xdr:rowOff>
    </xdr:from>
    <xdr:to>
      <xdr:col>8</xdr:col>
      <xdr:colOff>252600</xdr:colOff>
      <xdr:row>21</xdr:row>
      <xdr:rowOff>125250</xdr:rowOff>
    </xdr:to>
    <xdr:graphicFrame>
      <xdr:nvGraphicFramePr>
        <xdr:cNvPr id="2" name="Diagramm 1"/>
        <xdr:cNvGraphicFramePr/>
      </xdr:nvGraphicFramePr>
      <xdr:xfrm>
        <a:off x="228600" y="133350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438150</xdr:colOff>
      <xdr:row>22</xdr:row>
      <xdr:rowOff>152400</xdr:rowOff>
    </xdr:from>
    <xdr:to>
      <xdr:col>8</xdr:col>
      <xdr:colOff>463088</xdr:colOff>
      <xdr:row>37</xdr:row>
      <xdr:rowOff>107250</xdr:rowOff>
    </xdr:to>
    <xdr:graphicFrame>
      <xdr:nvGraphicFramePr>
        <xdr:cNvPr id="3" name="Diagramm 2"/>
        <xdr:cNvGraphicFramePr/>
      </xdr:nvGraphicFramePr>
      <xdr:xfrm>
        <a:off x="438150" y="4846320"/>
        <a:ext cx="6100445" cy="3154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533400</xdr:colOff>
      <xdr:row>38</xdr:row>
      <xdr:rowOff>104775</xdr:rowOff>
    </xdr:from>
    <xdr:to>
      <xdr:col>9</xdr:col>
      <xdr:colOff>557400</xdr:colOff>
      <xdr:row>56</xdr:row>
      <xdr:rowOff>88200</xdr:rowOff>
    </xdr:to>
    <xdr:graphicFrame>
      <xdr:nvGraphicFramePr>
        <xdr:cNvPr id="4" name="Diagramm 3"/>
        <xdr:cNvGraphicFramePr/>
      </xdr:nvGraphicFramePr>
      <xdr:xfrm>
        <a:off x="533400" y="8212455"/>
        <a:ext cx="6858635" cy="38233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0.57171</cdr:x>
      <cdr:y>0.09384</cdr:y>
    </cdr:from>
    <cdr:to>
      <cdr:x>0.78958</cdr:x>
      <cdr:y>0.1748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498850" y="374650"/>
          <a:ext cx="1333396" cy="323236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409575</xdr:colOff>
      <xdr:row>1</xdr:row>
      <xdr:rowOff>47625</xdr:rowOff>
    </xdr:from>
    <xdr:to>
      <xdr:col>8</xdr:col>
      <xdr:colOff>433575</xdr:colOff>
      <xdr:row>21</xdr:row>
      <xdr:rowOff>182400</xdr:rowOff>
    </xdr:to>
    <xdr:graphicFrame>
      <xdr:nvGraphicFramePr>
        <xdr:cNvPr id="2" name="Diagramm 1"/>
        <xdr:cNvGraphicFramePr/>
      </xdr:nvGraphicFramePr>
      <xdr:xfrm>
        <a:off x="409575" y="260985"/>
        <a:ext cx="6099175" cy="4447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24</xdr:row>
      <xdr:rowOff>57150</xdr:rowOff>
    </xdr:from>
    <xdr:to>
      <xdr:col>8</xdr:col>
      <xdr:colOff>377363</xdr:colOff>
      <xdr:row>39</xdr:row>
      <xdr:rowOff>169650</xdr:rowOff>
    </xdr:to>
    <xdr:graphicFrame>
      <xdr:nvGraphicFramePr>
        <xdr:cNvPr id="3" name="Diagramm 2"/>
        <xdr:cNvGraphicFramePr/>
      </xdr:nvGraphicFramePr>
      <xdr:xfrm>
        <a:off x="352425" y="522351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209550</xdr:colOff>
      <xdr:row>40</xdr:row>
      <xdr:rowOff>57150</xdr:rowOff>
    </xdr:from>
    <xdr:to>
      <xdr:col>8</xdr:col>
      <xdr:colOff>233550</xdr:colOff>
      <xdr:row>55</xdr:row>
      <xdr:rowOff>169650</xdr:rowOff>
    </xdr:to>
    <xdr:graphicFrame>
      <xdr:nvGraphicFramePr>
        <xdr:cNvPr id="4" name="Diagramm 3"/>
        <xdr:cNvGraphicFramePr/>
      </xdr:nvGraphicFramePr>
      <xdr:xfrm>
        <a:off x="209550" y="8637270"/>
        <a:ext cx="609917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0.1904</cdr:x>
      <cdr:y>0.26323</cdr:y>
    </cdr:from>
    <cdr:to>
      <cdr:x>0.40827</cdr:x>
      <cdr:y>0.34419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65225" y="1050925"/>
          <a:ext cx="1333396" cy="323236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24000</xdr:colOff>
      <xdr:row>22</xdr:row>
      <xdr:rowOff>182400</xdr:rowOff>
    </xdr:to>
    <xdr:graphicFrame>
      <xdr:nvGraphicFramePr>
        <xdr:cNvPr id="2" name="Diagramm 1"/>
        <xdr:cNvGraphicFramePr/>
      </xdr:nvGraphicFramePr>
      <xdr:xfrm>
        <a:off x="759460" y="426720"/>
        <a:ext cx="6099175" cy="4449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495300</xdr:colOff>
      <xdr:row>39</xdr:row>
      <xdr:rowOff>161925</xdr:rowOff>
    </xdr:from>
    <xdr:to>
      <xdr:col>8</xdr:col>
      <xdr:colOff>519300</xdr:colOff>
      <xdr:row>55</xdr:row>
      <xdr:rowOff>83925</xdr:rowOff>
    </xdr:to>
    <xdr:graphicFrame>
      <xdr:nvGraphicFramePr>
        <xdr:cNvPr id="3" name="Diagramm 2"/>
        <xdr:cNvGraphicFramePr/>
      </xdr:nvGraphicFramePr>
      <xdr:xfrm>
        <a:off x="495300" y="8482965"/>
        <a:ext cx="6099175" cy="3335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714375</xdr:colOff>
      <xdr:row>23</xdr:row>
      <xdr:rowOff>85725</xdr:rowOff>
    </xdr:from>
    <xdr:to>
      <xdr:col>8</xdr:col>
      <xdr:colOff>739313</xdr:colOff>
      <xdr:row>39</xdr:row>
      <xdr:rowOff>7725</xdr:rowOff>
    </xdr:to>
    <xdr:graphicFrame>
      <xdr:nvGraphicFramePr>
        <xdr:cNvPr id="4" name="Diagramm 3"/>
        <xdr:cNvGraphicFramePr/>
      </xdr:nvGraphicFramePr>
      <xdr:xfrm>
        <a:off x="714375" y="4993005"/>
        <a:ext cx="6100445" cy="3335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0.12658</cdr:x>
      <cdr:y>0.36821</cdr:y>
    </cdr:from>
    <cdr:to>
      <cdr:x>0.34446</cdr:x>
      <cdr:y>0.44917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774700" y="1470025"/>
          <a:ext cx="1333396" cy="323236"/>
        </a:xfrm>
        <a:prstGeom xmlns:a="http://schemas.openxmlformats.org/drawingml/2006/main" prst="rect">
          <a:avLst/>
        </a:prstGeom>
        <a:noFill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 xmlns:a="http://schemas.openxmlformats.org/drawingml/2006/main"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Fütterungsmenge [t/d]</a:t>
          </a:r>
          <a:endParaRPr lang="de-DE" sz="1200"/>
        </a:p>
      </cdr:txBody>
    </cdr:sp>
  </cdr:relSizeAnchor>
</c:userShapes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57150</xdr:colOff>
      <xdr:row>1</xdr:row>
      <xdr:rowOff>38100</xdr:rowOff>
    </xdr:from>
    <xdr:to>
      <xdr:col>9</xdr:col>
      <xdr:colOff>81150</xdr:colOff>
      <xdr:row>22</xdr:row>
      <xdr:rowOff>30000</xdr:rowOff>
    </xdr:to>
    <xdr:graphicFrame>
      <xdr:nvGraphicFramePr>
        <xdr:cNvPr id="2" name="Diagramm 1"/>
        <xdr:cNvGraphicFramePr/>
      </xdr:nvGraphicFramePr>
      <xdr:xfrm>
        <a:off x="816610" y="251460"/>
        <a:ext cx="6099175" cy="447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103777</xdr:colOff>
      <xdr:row>7</xdr:row>
      <xdr:rowOff>63387</xdr:rowOff>
    </xdr:from>
    <xdr:to>
      <xdr:col>5</xdr:col>
      <xdr:colOff>123825</xdr:colOff>
      <xdr:row>9</xdr:row>
      <xdr:rowOff>8497</xdr:rowOff>
    </xdr:to>
    <xdr:sp>
      <xdr:nvSpPr>
        <xdr:cNvPr id="3" name="Textfeld 2"/>
        <xdr:cNvSpPr txBox="1"/>
      </xdr:nvSpPr>
      <xdr:spPr>
        <a:xfrm>
          <a:off x="2381885" y="1556385"/>
          <a:ext cx="1539240" cy="372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200"/>
            <a:t>Fütterungsmenge [t/d]</a:t>
          </a:r>
          <a:endParaRPr lang="de-DE" sz="1200"/>
        </a:p>
      </xdr:txBody>
    </xdr:sp>
    <xdr:clientData/>
  </xdr:twoCellAnchor>
  <xdr:twoCellAnchor>
    <xdr:from>
      <xdr:col>1</xdr:col>
      <xdr:colOff>0</xdr:colOff>
      <xdr:row>23</xdr:row>
      <xdr:rowOff>0</xdr:rowOff>
    </xdr:from>
    <xdr:to>
      <xdr:col>9</xdr:col>
      <xdr:colOff>24938</xdr:colOff>
      <xdr:row>38</xdr:row>
      <xdr:rowOff>112500</xdr:rowOff>
    </xdr:to>
    <xdr:graphicFrame>
      <xdr:nvGraphicFramePr>
        <xdr:cNvPr id="4" name="Diagramm 3"/>
        <xdr:cNvGraphicFramePr/>
      </xdr:nvGraphicFramePr>
      <xdr:xfrm>
        <a:off x="759460" y="490728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10</xdr:col>
      <xdr:colOff>24000</xdr:colOff>
      <xdr:row>56</xdr:row>
      <xdr:rowOff>173925</xdr:rowOff>
    </xdr:to>
    <xdr:graphicFrame>
      <xdr:nvGraphicFramePr>
        <xdr:cNvPr id="5" name="Diagramm 4"/>
        <xdr:cNvGraphicFramePr/>
      </xdr:nvGraphicFramePr>
      <xdr:xfrm>
        <a:off x="759460" y="8321040"/>
        <a:ext cx="6858635" cy="380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0</xdr:colOff>
      <xdr:row>0</xdr:row>
      <xdr:rowOff>156883</xdr:rowOff>
    </xdr:from>
    <xdr:to>
      <xdr:col>16</xdr:col>
      <xdr:colOff>24000</xdr:colOff>
      <xdr:row>20</xdr:row>
      <xdr:rowOff>148783</xdr:rowOff>
    </xdr:to>
    <xdr:graphicFrame>
      <xdr:nvGraphicFramePr>
        <xdr:cNvPr id="2" name="Diagramm 1"/>
        <xdr:cNvGraphicFramePr/>
      </xdr:nvGraphicFramePr>
      <xdr:xfrm>
        <a:off x="6075680" y="156845"/>
        <a:ext cx="6099175" cy="4477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26</xdr:row>
      <xdr:rowOff>0</xdr:rowOff>
    </xdr:from>
    <xdr:to>
      <xdr:col>12</xdr:col>
      <xdr:colOff>24938</xdr:colOff>
      <xdr:row>41</xdr:row>
      <xdr:rowOff>112500</xdr:rowOff>
    </xdr:to>
    <xdr:graphicFrame>
      <xdr:nvGraphicFramePr>
        <xdr:cNvPr id="3" name="Diagramm 2"/>
        <xdr:cNvGraphicFramePr/>
      </xdr:nvGraphicFramePr>
      <xdr:xfrm>
        <a:off x="3037840" y="5765800"/>
        <a:ext cx="6100445" cy="331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bfz-dfs.leipzig.dbfz.de/dfsroot/Rohdaten/P3230049/BGA%2042%20Pfiffelbach/00%20Daten%20von%20BGA%20Pfiffelbach/BGA%20Betriebsdaten%20Stand%20Dez%2017/Prot_201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Library/Containers/com.tencent.xinWeChat/Data/Library/Application%20Support/com.tencent.xinWeChat/2.0b4.0.9/312f7ba7e3bfe513706fb6ff46b4ee98/Message/MessageTemp/9e20f478899dc29eb19741386f9343c8/File/https://sharepoint.leipzig.dbfz.de/Rohdaten/P3230049/BGA%2013%20K&#246;nigshofen/2017-01-11%20Diagramme%20BGA%2013_TS_kor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11 Niederdorla I/Auswertung/Auswertung BGA  Niederdorla I_Stand 21.06.2018_TS-korr.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1_Diagramme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2_Diagramme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3_Diagramme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4_Diagramme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5_Diagramme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6_Diagramme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7_Diagramme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8_Diagramme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09 Prist&#228;blich/03 Auswertung/04 Okt 17/Auswertung BGA 09 Prist&#228;blich_Stand 20180621_TSkorr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9_Datenblatt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09_Diagramme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10 Schwemsal/Auswertung/Okt 2017/Auswertung BGA 10 Schwemsal_Stand 21.06.2018_TS-korr.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10_Datenblatt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10_Diagramme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11_Datenblatt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Fischer/01 Projekte/BMP3/Brosch&#252;re/BGA 09/Auswertung BGA 09 Prist&#228;blich_Stand 20180621_TSkorr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11_Diagramme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12 Niederdorla II/Auswertung/Auswertung BGA 12_ Niederdorla II_TS_korr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12_Datenblatt 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Fischer/01 Projekte/BMP3/Brosch&#252;re/BGA 11 Niederdorla 1/Auswertung BGA  Niederdorla I_Stand 21.06.2018_TS-korr.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12_Diagramme 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U:/DBFZ/Projekte/BMP III/Brosch&#252;re/Versand_04.10.2019/Datenbl&#228;tter und Diagramme_Kapitel 15_DBFZ_Alle Anlagen_Marcel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13_Diagramme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13 K&#246;nigshofen/2017-01-11 Diagramme BGA 13_TS_korr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14 Hohenroda/2018-25-06 Diagramme BGA 14_TS-korr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14_Diagramm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15 Polzen (Je&#223;nigk)/2018-06-25 Diagramme BGA 15_TS-korr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15_Diagramme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16 Wehrhain (Schlieben)/2018-06-25 Diagramme BGA 16_TS-korr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16_Diagramme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17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17_Diagramme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18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18_Diagramme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19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19_Diagramme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20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0_Diagramme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21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1_Diagramme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22.xlsm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2_Diagramme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23.xlsm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3_Diagramme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ULI 1 Jahr.xlsm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4_Diagramme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5_Diagramme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25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6_Diagramme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26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7_Diagramme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8_Diagramme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28.xlsm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29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29_Diagramme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0_Diagramme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31.xlsm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1_Diagramme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2_Diagramme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3_Diagramme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4_Diagramme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5_Diagramme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6_Diagramme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7_Diagramme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8_Diagramme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39_Diagramme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40 L&#252;ttewitz/Auswertung/Auswertung BGA L&#252;ttewitz_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0_Datenblatt 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0_Diagramme 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41 Naumburg/2018-10-17 Diagramme BGA 41 repariert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1_Diagramme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U:/DBFZ/Projekte/BMP III/Brosch&#252;re/Versand_04.10.2019/Kopie von Datenbl&#228;tter und Diagramme_Kapitel 15_DBFZ_Alle Anlagen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42 Pfiffelbach/Auswertung/2018-06-27 Diagramme BGA 4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2_Datenblatt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2_Diagramme 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3_Diagramme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44 Mellingen/2018-06-28 Diagramme BGA 44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4_Datenblatt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4_Diagramme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45 Ha&#223;lau/Auswertung/2018-07-04 Diagramme BGA 45_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5_Diagramme 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/Rohdaten/P3230049/BGA 46 Polkenberg/2018-01-09 Diagramme BGA 46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6_Diagramme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47.xlsm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7_Diagramme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48.xlsm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8_Diagramme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49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49_Diagramme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50.xlsm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0_Diagramme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51.xlsm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1_Diagramme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52.xlsm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2_Diagramme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53.xlsm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3_Diagramme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4_Diagramme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55.xlsm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5_Diagramme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56.xlsm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6_Diagramme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7_Diagramme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57.xlsm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58.xlsm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8_Diagramme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59.xlsm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59_Diagramme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60_Diagramme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alex/Library/Containers/com.tencent.xinWeChat/Data/Library/Application Support/com.tencent.xinWeChat/2.0b4.0.9/312f7ba7e3bfe513706fb6ff46b4ee98/Message/MessageTemp/9e20f478899dc29eb19741386f9343c8/File/https://sharepoint.leipzig.dbfz.de/Promotion/Brosch&#252;re/Auswertetool/Kopie von Diagramme BGA 61.xlsm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GA 61_Diagramme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Jahr"/>
      <sheetName val="K01"/>
      <sheetName val="K02"/>
      <sheetName val="K03"/>
      <sheetName val="K04"/>
      <sheetName val="K05"/>
      <sheetName val="K06"/>
      <sheetName val="K07"/>
      <sheetName val="K08"/>
      <sheetName val="K09"/>
      <sheetName val="K10"/>
      <sheetName val="K11"/>
      <sheetName val="K12"/>
      <sheetName val="Einstellungen"/>
      <sheetName val="Toleranzen"/>
      <sheetName val="BLE"/>
      <sheetName val="Anzei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ep 16"/>
      <sheetName val="Okt 16"/>
      <sheetName val="Nov 16"/>
      <sheetName val="Dez 16"/>
      <sheetName val="Jan 17"/>
      <sheetName val="Feb 17"/>
      <sheetName val="Mrz 17"/>
      <sheetName val="Apr 17"/>
      <sheetName val="Mai 17"/>
      <sheetName val="Jun 17"/>
      <sheetName val="Jul 17"/>
      <sheetName val="Aug 17"/>
      <sheetName val="Sep 17"/>
      <sheetName val="Jahresverlauf"/>
      <sheetName val="Trafo Einspeisung"/>
      <sheetName val="Tabellen für Auswertung"/>
      <sheetName val="Auswertung"/>
      <sheetName val="Finales Datenblatt"/>
      <sheetName val="Biogas_Nm"/>
      <sheetName val="Datenblatt"/>
      <sheetName val="Diagramme für Broschüre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2016 Erf.Technikc."/>
      <sheetName val="2016 Erf.Rundg."/>
      <sheetName val="2016 Erf. Futter"/>
      <sheetName val="2017 Erf. Futter"/>
      <sheetName val="2016 BGA L."/>
      <sheetName val="2016 BHKW"/>
      <sheetName val="2016 Zus"/>
      <sheetName val="2016 TEN"/>
      <sheetName val="BGA 11 Labordaten DBFZ"/>
      <sheetName val="BGA 11 Labordaten_DBFZ"/>
      <sheetName val="Tabellen für Auswertung"/>
      <sheetName val="Auswertung"/>
      <sheetName val="Finales Datenblatt"/>
      <sheetName val="Jahresverlauf"/>
      <sheetName val="Biogas_Nm"/>
      <sheetName val="Datenblatt alt"/>
      <sheetName val="BGA 11 Datenblatt"/>
      <sheetName val="BGA11_Diagramme"/>
      <sheetName val="2017 Erf.Technikc."/>
      <sheetName val="2017 Erf.Rundg."/>
      <sheetName val="2017 BGA L."/>
      <sheetName val="2017 BHKW"/>
      <sheetName val="2017 Zus"/>
      <sheetName val="2017 FAnalysen"/>
      <sheetName val="BGA11_Datenblatt"/>
      <sheetName val="Auswertung BGA  Niederdorla I_S"/>
      <sheetName val="Datenblatt neu"/>
      <sheetName val="Diagramme für Broschü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8">
          <cell r="W18">
            <v>266</v>
          </cell>
        </row>
        <row r="30">
          <cell r="W30">
            <v>194</v>
          </cell>
        </row>
      </sheetData>
      <sheetData sheetId="10">
        <row r="16">
          <cell r="J16">
            <v>8871.86001</v>
          </cell>
        </row>
        <row r="33">
          <cell r="J33">
            <v>24.3248907727855</v>
          </cell>
        </row>
        <row r="33">
          <cell r="P33">
            <v>8338.5</v>
          </cell>
        </row>
        <row r="50">
          <cell r="D50">
            <v>0.0835912648716377</v>
          </cell>
          <cell r="E50">
            <v>0.00309968822422842</v>
          </cell>
          <cell r="F50">
            <v>0.774657174736011</v>
          </cell>
        </row>
        <row r="50">
          <cell r="H50">
            <v>0.138651872168123</v>
          </cell>
        </row>
        <row r="50">
          <cell r="P50">
            <v>4216298</v>
          </cell>
        </row>
        <row r="84">
          <cell r="J84">
            <v>38.672107039752</v>
          </cell>
        </row>
        <row r="84">
          <cell r="P84">
            <v>370922.9828</v>
          </cell>
          <cell r="Q84">
            <v>112614</v>
          </cell>
          <cell r="R84">
            <v>483536.9828</v>
          </cell>
        </row>
        <row r="101">
          <cell r="J101">
            <v>93.5103319003883</v>
          </cell>
        </row>
        <row r="118">
          <cell r="J118">
            <v>74.8024729064646</v>
          </cell>
        </row>
        <row r="123">
          <cell r="Q123">
            <v>139873.4857</v>
          </cell>
          <cell r="R123">
            <v>107900</v>
          </cell>
          <cell r="S123">
            <v>247923.4857</v>
          </cell>
        </row>
        <row r="124">
          <cell r="Q124">
            <v>120625.7678</v>
          </cell>
          <cell r="R124">
            <v>122500</v>
          </cell>
          <cell r="S124">
            <v>256125.7678</v>
          </cell>
        </row>
        <row r="125">
          <cell r="Q125">
            <v>137593.5647</v>
          </cell>
          <cell r="R125">
            <v>130200</v>
          </cell>
          <cell r="S125">
            <v>279993.5647</v>
          </cell>
        </row>
        <row r="126">
          <cell r="Q126">
            <v>140220.4591</v>
          </cell>
          <cell r="R126">
            <v>144100</v>
          </cell>
          <cell r="S126">
            <v>303660.4591</v>
          </cell>
        </row>
        <row r="127">
          <cell r="Q127">
            <v>126659.2497</v>
          </cell>
          <cell r="R127">
            <v>121100</v>
          </cell>
          <cell r="S127">
            <v>264289.2497</v>
          </cell>
        </row>
        <row r="128">
          <cell r="Q128">
            <v>115467.0311</v>
          </cell>
          <cell r="R128">
            <v>117600</v>
          </cell>
          <cell r="S128">
            <v>237717.0311</v>
          </cell>
        </row>
        <row r="129">
          <cell r="Q129">
            <v>76054.974</v>
          </cell>
          <cell r="R129">
            <v>79300</v>
          </cell>
          <cell r="S129">
            <v>168274.974</v>
          </cell>
        </row>
        <row r="130">
          <cell r="Q130">
            <v>113464.29</v>
          </cell>
          <cell r="R130">
            <v>56200.0000000001</v>
          </cell>
          <cell r="S130">
            <v>207314.29</v>
          </cell>
        </row>
        <row r="131">
          <cell r="Q131">
            <v>116150.3427</v>
          </cell>
          <cell r="R131">
            <v>69300</v>
          </cell>
          <cell r="S131">
            <v>185460.3427</v>
          </cell>
        </row>
        <row r="132">
          <cell r="Q132">
            <v>153555.6705</v>
          </cell>
          <cell r="R132">
            <v>71200</v>
          </cell>
          <cell r="S132">
            <v>224755.6705</v>
          </cell>
        </row>
        <row r="133">
          <cell r="Q133">
            <v>171851.538</v>
          </cell>
          <cell r="R133">
            <v>71700</v>
          </cell>
          <cell r="S133">
            <v>243591.538</v>
          </cell>
        </row>
        <row r="134">
          <cell r="Q134">
            <v>160951.7874</v>
          </cell>
          <cell r="R134">
            <v>91499.9999999998</v>
          </cell>
          <cell r="S134">
            <v>263311.7874</v>
          </cell>
        </row>
        <row r="135">
          <cell r="P135">
            <v>127350</v>
          </cell>
        </row>
      </sheetData>
      <sheetData sheetId="11">
        <row r="4">
          <cell r="K4">
            <v>42644</v>
          </cell>
        </row>
        <row r="4">
          <cell r="M4">
            <v>0</v>
          </cell>
        </row>
        <row r="4">
          <cell r="O4">
            <v>15.1248516844645</v>
          </cell>
          <cell r="P4">
            <v>74.3350797904252</v>
          </cell>
          <cell r="Q4">
            <v>10.4987401511819</v>
          </cell>
        </row>
        <row r="4">
          <cell r="S4">
            <v>24.2293516129032</v>
          </cell>
        </row>
        <row r="4">
          <cell r="U4">
            <v>0.0413283739284619</v>
          </cell>
        </row>
        <row r="5">
          <cell r="K5">
            <v>42675</v>
          </cell>
        </row>
        <row r="5">
          <cell r="M5">
            <v>0</v>
          </cell>
        </row>
        <row r="5">
          <cell r="O5">
            <v>15.5946729957806</v>
          </cell>
          <cell r="P5">
            <v>80.3401898734177</v>
          </cell>
          <cell r="Q5">
            <v>4.02558016877637</v>
          </cell>
        </row>
        <row r="5">
          <cell r="S5">
            <v>25.3368333333333</v>
          </cell>
        </row>
        <row r="5">
          <cell r="U5">
            <v>0.0395569620253165</v>
          </cell>
        </row>
        <row r="6">
          <cell r="K6">
            <v>42705</v>
          </cell>
        </row>
        <row r="6">
          <cell r="M6">
            <v>0</v>
          </cell>
        </row>
        <row r="6">
          <cell r="O6">
            <v>15.2372905224616</v>
          </cell>
          <cell r="P6">
            <v>79.2692450487127</v>
          </cell>
          <cell r="Q6">
            <v>5.45377731689519</v>
          </cell>
        </row>
        <row r="6">
          <cell r="S6">
            <v>25.2721129032258</v>
          </cell>
        </row>
        <row r="6">
          <cell r="U6">
            <v>0.0396871119304579</v>
          </cell>
        </row>
        <row r="7">
          <cell r="K7">
            <v>42736</v>
          </cell>
        </row>
        <row r="7">
          <cell r="M7">
            <v>0</v>
          </cell>
        </row>
        <row r="7">
          <cell r="O7">
            <v>15.1542177629134</v>
          </cell>
          <cell r="P7">
            <v>74.4952310169702</v>
          </cell>
          <cell r="Q7">
            <v>10.3121516164994</v>
          </cell>
        </row>
        <row r="7">
          <cell r="S7">
            <v>26.1414677419355</v>
          </cell>
        </row>
        <row r="7">
          <cell r="U7">
            <v>0.0383996036169949</v>
          </cell>
        </row>
        <row r="8">
          <cell r="K8">
            <v>42767</v>
          </cell>
        </row>
        <row r="8">
          <cell r="M8">
            <v>0</v>
          </cell>
        </row>
        <row r="8">
          <cell r="O8">
            <v>15.2731188139313</v>
          </cell>
          <cell r="P8">
            <v>74.202454411176</v>
          </cell>
          <cell r="Q8">
            <v>10.4857746303889</v>
          </cell>
        </row>
        <row r="8">
          <cell r="S8">
            <v>25.9633571428571</v>
          </cell>
        </row>
        <row r="8">
          <cell r="U8">
            <v>0.0386521445038031</v>
          </cell>
        </row>
        <row r="9">
          <cell r="K9">
            <v>42795</v>
          </cell>
        </row>
        <row r="9">
          <cell r="M9">
            <v>0</v>
          </cell>
        </row>
        <row r="9">
          <cell r="O9">
            <v>15.5146595208071</v>
          </cell>
          <cell r="P9">
            <v>73.8296027742749</v>
          </cell>
          <cell r="Q9">
            <v>10.6150168137873</v>
          </cell>
        </row>
        <row r="9">
          <cell r="S9">
            <v>24.6440483870968</v>
          </cell>
        </row>
        <row r="9">
          <cell r="U9">
            <v>0.0407208911307272</v>
          </cell>
        </row>
        <row r="10">
          <cell r="K10">
            <v>42826</v>
          </cell>
        </row>
        <row r="10">
          <cell r="M10">
            <v>0</v>
          </cell>
        </row>
        <row r="10">
          <cell r="O10">
            <v>14.1469899313913</v>
          </cell>
          <cell r="P10">
            <v>76.4948744182883</v>
          </cell>
          <cell r="Q10">
            <v>9.31174700697767</v>
          </cell>
        </row>
        <row r="10">
          <cell r="S10">
            <v>21.6085003333333</v>
          </cell>
        </row>
        <row r="10">
          <cell r="U10">
            <v>0.046388643342632</v>
          </cell>
        </row>
        <row r="11">
          <cell r="K11">
            <v>42856</v>
          </cell>
        </row>
        <row r="11">
          <cell r="M11">
            <v>0</v>
          </cell>
        </row>
        <row r="11">
          <cell r="O11">
            <v>0</v>
          </cell>
          <cell r="P11">
            <v>99.9407197766474</v>
          </cell>
          <cell r="Q11">
            <v>0</v>
          </cell>
        </row>
        <row r="11">
          <cell r="S11">
            <v>16.9479193548387</v>
          </cell>
        </row>
        <row r="11">
          <cell r="U11">
            <v>0.0592802233525835</v>
          </cell>
        </row>
        <row r="12">
          <cell r="K12">
            <v>42887</v>
          </cell>
        </row>
        <row r="12">
          <cell r="M12">
            <v>0</v>
          </cell>
        </row>
        <row r="12">
          <cell r="O12">
            <v>10.5113674969764</v>
          </cell>
          <cell r="P12">
            <v>83.8694334597144</v>
          </cell>
          <cell r="Q12">
            <v>5.57843097286205</v>
          </cell>
        </row>
        <row r="12">
          <cell r="S12">
            <v>24.5918333333333</v>
          </cell>
        </row>
        <row r="12">
          <cell r="U12">
            <v>0.0407680704472257</v>
          </cell>
        </row>
        <row r="13">
          <cell r="K13">
            <v>42917</v>
          </cell>
        </row>
        <row r="13">
          <cell r="M13">
            <v>1.91835705851918</v>
          </cell>
        </row>
        <row r="13">
          <cell r="O13">
            <v>15.4370696631598</v>
          </cell>
          <cell r="P13">
            <v>72.1002427796277</v>
          </cell>
          <cell r="Q13">
            <v>10.5032038950874</v>
          </cell>
        </row>
        <row r="13">
          <cell r="S13">
            <v>24.3966290322581</v>
          </cell>
        </row>
        <row r="13">
          <cell r="U13">
            <v>0.0411266036058745</v>
          </cell>
        </row>
        <row r="14">
          <cell r="K14">
            <v>42948</v>
          </cell>
        </row>
        <row r="14">
          <cell r="M14">
            <v>1.64856698567618</v>
          </cell>
        </row>
        <row r="14">
          <cell r="O14">
            <v>15.0355883133794</v>
          </cell>
          <cell r="P14">
            <v>72.9503533546568</v>
          </cell>
          <cell r="Q14">
            <v>10.3262999532232</v>
          </cell>
        </row>
        <row r="14">
          <cell r="S14">
            <v>25.5995322580645</v>
          </cell>
        </row>
        <row r="14">
          <cell r="U14">
            <v>0.0391913930643877</v>
          </cell>
        </row>
        <row r="15">
          <cell r="K15">
            <v>42979</v>
          </cell>
        </row>
        <row r="15">
          <cell r="M15">
            <v>0</v>
          </cell>
        </row>
        <row r="15">
          <cell r="O15">
            <v>14.7322700085446</v>
          </cell>
          <cell r="P15">
            <v>74.8374157410045</v>
          </cell>
          <cell r="Q15">
            <v>10.3947118579702</v>
          </cell>
        </row>
        <row r="15">
          <cell r="S15">
            <v>28.1715</v>
          </cell>
        </row>
        <row r="15">
          <cell r="U15">
            <v>0.0356023924807747</v>
          </cell>
        </row>
        <row r="16">
          <cell r="K16" t="str">
            <v>Jahresmenge</v>
          </cell>
        </row>
        <row r="16">
          <cell r="M16">
            <v>0.309968822422842</v>
          </cell>
        </row>
        <row r="16">
          <cell r="O16">
            <v>13.8651872168123</v>
          </cell>
          <cell r="P16">
            <v>77.4657174736011</v>
          </cell>
          <cell r="Q16">
            <v>8.35912648716377</v>
          </cell>
        </row>
        <row r="16">
          <cell r="S16">
            <v>48.7334812255504</v>
          </cell>
        </row>
        <row r="16">
          <cell r="U16">
            <v>0.0205664275658124</v>
          </cell>
        </row>
        <row r="156">
          <cell r="Q156">
            <v>1981805.66743268</v>
          </cell>
        </row>
        <row r="182">
          <cell r="L182">
            <v>11.6154102317619</v>
          </cell>
        </row>
        <row r="182">
          <cell r="N182">
            <v>73.6232153299248</v>
          </cell>
          <cell r="O182">
            <v>10.5976297389864</v>
          </cell>
        </row>
        <row r="182">
          <cell r="Q182">
            <v>73.9672698324499</v>
          </cell>
        </row>
        <row r="182">
          <cell r="S182">
            <v>9.90465453717171</v>
          </cell>
          <cell r="T182">
            <v>72.0510136979312</v>
          </cell>
        </row>
        <row r="191">
          <cell r="O191">
            <v>0.210433253178968</v>
          </cell>
        </row>
        <row r="191">
          <cell r="S191">
            <v>0.191843843320641</v>
          </cell>
        </row>
        <row r="192">
          <cell r="O192">
            <v>0.246219018386297</v>
          </cell>
        </row>
        <row r="193">
          <cell r="O193">
            <v>0.192107683596239</v>
          </cell>
        </row>
        <row r="193">
          <cell r="S193">
            <v>0.165377976209837</v>
          </cell>
        </row>
        <row r="194">
          <cell r="O194">
            <v>0.181955703927578</v>
          </cell>
        </row>
        <row r="194">
          <cell r="S194">
            <v>0.172260256004257</v>
          </cell>
        </row>
        <row r="195">
          <cell r="O195">
            <v>0.187005382933431</v>
          </cell>
        </row>
        <row r="195">
          <cell r="S195">
            <v>0.177026513101529</v>
          </cell>
        </row>
        <row r="196">
          <cell r="O196">
            <v>0.151981030756046</v>
          </cell>
        </row>
        <row r="197">
          <cell r="O197">
            <v>0.166321312788502</v>
          </cell>
        </row>
        <row r="198">
          <cell r="O198">
            <v>0.150497697086317</v>
          </cell>
        </row>
        <row r="198">
          <cell r="S198">
            <v>0.146103887280257</v>
          </cell>
        </row>
        <row r="199">
          <cell r="O199">
            <v>0.155157767171564</v>
          </cell>
        </row>
        <row r="199">
          <cell r="S199">
            <v>0.146036130282551</v>
          </cell>
        </row>
        <row r="200">
          <cell r="O200">
            <v>0.154317327185093</v>
          </cell>
        </row>
        <row r="200">
          <cell r="S200">
            <v>0.140686396994509</v>
          </cell>
        </row>
        <row r="201">
          <cell r="O201">
            <v>0.159832184551373</v>
          </cell>
        </row>
        <row r="202">
          <cell r="O202">
            <v>0.164939293186495</v>
          </cell>
        </row>
        <row r="203">
          <cell r="O203">
            <v>0.176730637895659</v>
          </cell>
        </row>
        <row r="203">
          <cell r="S203">
            <v>0.162762143313369</v>
          </cell>
        </row>
        <row r="224">
          <cell r="L224">
            <v>3375.83333333333</v>
          </cell>
          <cell r="M224">
            <v>6223.88888888889</v>
          </cell>
          <cell r="N224">
            <v>8.01</v>
          </cell>
          <cell r="O224">
            <v>3286.25</v>
          </cell>
          <cell r="P224">
            <v>6732.08333333333</v>
          </cell>
          <cell r="Q224">
            <v>7.41416666666667</v>
          </cell>
        </row>
      </sheetData>
      <sheetData sheetId="12">
        <row r="370">
          <cell r="K370">
            <v>43.7112328767123</v>
          </cell>
        </row>
        <row r="370">
          <cell r="N370">
            <v>41.8493150684931</v>
          </cell>
        </row>
        <row r="370">
          <cell r="AB370">
            <v>54.3178082191781</v>
          </cell>
        </row>
        <row r="370">
          <cell r="AD370">
            <v>0.497237569060776</v>
          </cell>
        </row>
        <row r="370">
          <cell r="AF370">
            <v>139.660273972603</v>
          </cell>
        </row>
      </sheetData>
      <sheetData sheetId="13"/>
      <sheetData sheetId="14">
        <row r="9">
          <cell r="E9">
            <v>378928.98</v>
          </cell>
        </row>
        <row r="10">
          <cell r="E10">
            <v>0</v>
          </cell>
        </row>
        <row r="11">
          <cell r="E11">
            <v>384239.1</v>
          </cell>
        </row>
        <row r="12">
          <cell r="E12">
            <v>387086.94</v>
          </cell>
        </row>
        <row r="13">
          <cell r="E13">
            <v>353473.86</v>
          </cell>
        </row>
        <row r="14">
          <cell r="E14">
            <v>395946.66</v>
          </cell>
        </row>
        <row r="15">
          <cell r="E15">
            <v>270869.16</v>
          </cell>
        </row>
        <row r="16">
          <cell r="E16">
            <v>247157.22</v>
          </cell>
        </row>
        <row r="17">
          <cell r="E17">
            <v>377007.3</v>
          </cell>
        </row>
        <row r="18">
          <cell r="E18">
            <v>388532.28</v>
          </cell>
        </row>
        <row r="19">
          <cell r="E19">
            <v>381919.62</v>
          </cell>
        </row>
        <row r="20">
          <cell r="E20">
            <v>375235.56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GA 01_Diagramme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BGA 02_Diagramme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GA 03_Diagramme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GA 04_Diagramme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BGA 05_Diagramme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GA 06_Diagramme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GA 07_Diagramme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GA 08_Diagramme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01 BGA Pristäblich_Substrate "/>
      <sheetName val="010 Wichtung Substrate BGA 09"/>
      <sheetName val="010 Wichtung Substrate korr."/>
      <sheetName val="02 BGA Pristäblich Betr.Tageb."/>
      <sheetName val="03 Probenanalyse DBFZ"/>
      <sheetName val="Tabellen für Auswertung"/>
      <sheetName val="Auswertung"/>
      <sheetName val="Finales Datenblatt"/>
      <sheetName val="Jahresverlauf"/>
      <sheetName val="Biogas_Nm"/>
      <sheetName val=" Datenblatt alt"/>
      <sheetName val="BGA09_Datenblatt"/>
      <sheetName val="BGA09_Diagramme"/>
      <sheetName val="Auswertung BGA 09 Pristäblich_S"/>
    </sheetNames>
    <sheetDataSet>
      <sheetData sheetId="0"/>
      <sheetData sheetId="1"/>
      <sheetData sheetId="2"/>
      <sheetData sheetId="3">
        <row r="9">
          <cell r="C9">
            <v>77584</v>
          </cell>
        </row>
        <row r="9">
          <cell r="O9">
            <v>85755</v>
          </cell>
        </row>
        <row r="37">
          <cell r="C37">
            <v>68057</v>
          </cell>
        </row>
        <row r="37">
          <cell r="O37">
            <v>76557</v>
          </cell>
        </row>
        <row r="71">
          <cell r="D71">
            <v>123.652173913043</v>
          </cell>
          <cell r="E71">
            <v>78.6666666666667</v>
          </cell>
          <cell r="F71">
            <v>124</v>
          </cell>
          <cell r="G71">
            <v>118</v>
          </cell>
          <cell r="H71">
            <v>96.6666666666667</v>
          </cell>
          <cell r="I71">
            <v>82.4285714285714</v>
          </cell>
          <cell r="J71">
            <v>110.5</v>
          </cell>
          <cell r="K71">
            <v>131.666666666667</v>
          </cell>
          <cell r="L71">
            <v>117.740740740741</v>
          </cell>
          <cell r="M71">
            <v>110</v>
          </cell>
          <cell r="N71">
            <v>106</v>
          </cell>
          <cell r="O71">
            <v>97.2</v>
          </cell>
        </row>
        <row r="142">
          <cell r="E142">
            <v>42.4500481813767</v>
          </cell>
          <cell r="F142">
            <v>42.3660693198374</v>
          </cell>
        </row>
      </sheetData>
      <sheetData sheetId="4"/>
      <sheetData sheetId="5">
        <row r="16">
          <cell r="J16">
            <v>19830.285</v>
          </cell>
        </row>
        <row r="33">
          <cell r="J33">
            <v>54.3238026113671</v>
          </cell>
        </row>
        <row r="50">
          <cell r="B50">
            <v>0.575180840819988</v>
          </cell>
        </row>
        <row r="50">
          <cell r="D50">
            <v>0.0460154758239733</v>
          </cell>
          <cell r="E50">
            <v>0.0188033606173588</v>
          </cell>
          <cell r="F50">
            <v>0.284131720749349</v>
          </cell>
          <cell r="G50">
            <v>0.0425380674054861</v>
          </cell>
        </row>
        <row r="50">
          <cell r="I50">
            <v>0.027609285494384</v>
          </cell>
        </row>
        <row r="50">
          <cell r="N50">
            <v>2945500</v>
          </cell>
          <cell r="O50">
            <v>1530640</v>
          </cell>
        </row>
        <row r="50">
          <cell r="Q50">
            <v>4476140</v>
          </cell>
        </row>
        <row r="84">
          <cell r="J84">
            <v>17.9145115320929</v>
          </cell>
        </row>
        <row r="84">
          <cell r="N84">
            <v>336301.15</v>
          </cell>
        </row>
        <row r="89">
          <cell r="Q89">
            <v>38.7</v>
          </cell>
          <cell r="R89">
            <v>38.5</v>
          </cell>
        </row>
        <row r="89">
          <cell r="T89">
            <v>48.8</v>
          </cell>
          <cell r="U89">
            <v>23.6</v>
          </cell>
        </row>
        <row r="101">
          <cell r="J101">
            <v>77.6859800538782</v>
          </cell>
        </row>
        <row r="118">
          <cell r="J118">
            <v>50.6112539975194</v>
          </cell>
        </row>
        <row r="124">
          <cell r="Q124">
            <v>33453.4</v>
          </cell>
        </row>
        <row r="125">
          <cell r="Q125">
            <v>46916.4</v>
          </cell>
        </row>
        <row r="126">
          <cell r="Q126">
            <v>70399.7000000001</v>
          </cell>
        </row>
        <row r="127">
          <cell r="Q127">
            <v>45271.7999999998</v>
          </cell>
        </row>
        <row r="128">
          <cell r="Q128">
            <v>92187.2</v>
          </cell>
        </row>
        <row r="129">
          <cell r="Q129">
            <v>73887.3000000003</v>
          </cell>
        </row>
        <row r="130">
          <cell r="Q130">
            <v>69011.3999999999</v>
          </cell>
        </row>
        <row r="131">
          <cell r="Q131">
            <v>60397.4999999999</v>
          </cell>
        </row>
        <row r="132">
          <cell r="Q132">
            <v>48462.2000000002</v>
          </cell>
        </row>
        <row r="133">
          <cell r="Q133">
            <v>38056.2999999999</v>
          </cell>
        </row>
        <row r="134">
          <cell r="Q134">
            <v>39072.8999999999</v>
          </cell>
        </row>
        <row r="135">
          <cell r="Q135">
            <v>38643.6</v>
          </cell>
        </row>
      </sheetData>
      <sheetData sheetId="6">
        <row r="2">
          <cell r="L2" t="str">
            <v>Prozesswasser</v>
          </cell>
          <cell r="M2" t="str">
            <v>Getreideschrot</v>
          </cell>
          <cell r="N2" t="str">
            <v>Roggen-GPS</v>
          </cell>
          <cell r="O2" t="str">
            <v>Grassilage</v>
          </cell>
          <cell r="P2" t="str">
            <v>Maissilage</v>
          </cell>
          <cell r="Q2" t="str">
            <v>Futterreste + Rindermist</v>
          </cell>
          <cell r="R2" t="str">
            <v>Rindergülle</v>
          </cell>
          <cell r="S2" t="str">
            <v>Fütterungsmenge [t/d]</v>
          </cell>
          <cell r="T2" t="str">
            <v>Rezirkulat</v>
          </cell>
          <cell r="U2" t="str">
            <v>Additive</v>
          </cell>
        </row>
        <row r="3">
          <cell r="L3" t="str">
            <v>[%]</v>
          </cell>
          <cell r="M3" t="str">
            <v>[%]</v>
          </cell>
          <cell r="N3" t="str">
            <v>[%]</v>
          </cell>
          <cell r="O3" t="str">
            <v>[%]</v>
          </cell>
          <cell r="P3" t="str">
            <v>[%]</v>
          </cell>
          <cell r="Q3" t="str">
            <v>[%]</v>
          </cell>
          <cell r="R3" t="str">
            <v>[%]</v>
          </cell>
          <cell r="S3" t="str">
            <v>[t/d]</v>
          </cell>
        </row>
        <row r="3">
          <cell r="U3" t="str">
            <v>[%]</v>
          </cell>
        </row>
        <row r="4">
          <cell r="K4">
            <v>42614</v>
          </cell>
          <cell r="L4">
            <v>2.68736936398925</v>
          </cell>
          <cell r="M4">
            <v>1.58256195879367</v>
          </cell>
          <cell r="N4">
            <v>4.59540161242162</v>
          </cell>
          <cell r="O4">
            <v>0</v>
          </cell>
          <cell r="P4">
            <v>31.1024186324276</v>
          </cell>
          <cell r="Q4">
            <v>4.47894893998208</v>
          </cell>
          <cell r="R4">
            <v>55.4792475365781</v>
          </cell>
          <cell r="S4">
            <v>55.8166666666667</v>
          </cell>
          <cell r="T4">
            <v>0</v>
          </cell>
          <cell r="U4">
            <v>0.0740519558077038</v>
          </cell>
        </row>
        <row r="5">
          <cell r="K5">
            <v>42644</v>
          </cell>
          <cell r="L5">
            <v>2.80345095769502</v>
          </cell>
          <cell r="M5">
            <v>2.0679218892245</v>
          </cell>
          <cell r="N5">
            <v>0</v>
          </cell>
          <cell r="O5">
            <v>0</v>
          </cell>
          <cell r="P5">
            <v>33.8904061687979</v>
          </cell>
          <cell r="Q5">
            <v>4.67241826282504</v>
          </cell>
          <cell r="R5">
            <v>56.4910440292524</v>
          </cell>
          <cell r="S5">
            <v>53.5054838709677</v>
          </cell>
          <cell r="T5">
            <v>0</v>
          </cell>
          <cell r="U5">
            <v>0.0747586922052006</v>
          </cell>
        </row>
        <row r="6">
          <cell r="K6">
            <v>42675</v>
          </cell>
          <cell r="L6">
            <v>2.52194088570564</v>
          </cell>
          <cell r="M6">
            <v>2.18568210094489</v>
          </cell>
          <cell r="N6">
            <v>0</v>
          </cell>
          <cell r="O6">
            <v>0.554266563547306</v>
          </cell>
          <cell r="P6">
            <v>29.266283331652</v>
          </cell>
          <cell r="Q6">
            <v>4.2032348095094</v>
          </cell>
          <cell r="R6">
            <v>61.1990988264568</v>
          </cell>
          <cell r="S6">
            <v>59.478</v>
          </cell>
          <cell r="T6">
            <v>0</v>
          </cell>
          <cell r="U6">
            <v>0.0694934821838887</v>
          </cell>
        </row>
        <row r="7">
          <cell r="K7">
            <v>42705</v>
          </cell>
          <cell r="L7">
            <v>3.11432172751761</v>
          </cell>
          <cell r="M7">
            <v>1.03140977642519</v>
          </cell>
          <cell r="N7">
            <v>0</v>
          </cell>
          <cell r="O7">
            <v>1.17031522293855</v>
          </cell>
          <cell r="P7">
            <v>26.9230099484161</v>
          </cell>
          <cell r="Q7">
            <v>5.19053621252935</v>
          </cell>
          <cell r="R7">
            <v>62.4873585327727</v>
          </cell>
          <cell r="S7">
            <v>48.1645806451613</v>
          </cell>
          <cell r="T7">
            <v>0</v>
          </cell>
          <cell r="U7">
            <v>0.0830485794004696</v>
          </cell>
        </row>
        <row r="8">
          <cell r="K8">
            <v>42736</v>
          </cell>
          <cell r="L8">
            <v>2.73133849683576</v>
          </cell>
          <cell r="M8">
            <v>2.03235079549499</v>
          </cell>
          <cell r="N8">
            <v>0</v>
          </cell>
          <cell r="O8">
            <v>0.0390023389655687</v>
          </cell>
          <cell r="P8">
            <v>33.0085487958028</v>
          </cell>
          <cell r="Q8">
            <v>4.5522308280596</v>
          </cell>
          <cell r="R8">
            <v>57.5636930515923</v>
          </cell>
          <cell r="S8">
            <v>54.9181290322581</v>
          </cell>
          <cell r="T8">
            <v>0</v>
          </cell>
          <cell r="U8">
            <v>0.0728356932489536</v>
          </cell>
        </row>
        <row r="9">
          <cell r="K9">
            <v>42767</v>
          </cell>
          <cell r="L9">
            <v>2.87093113866597</v>
          </cell>
          <cell r="M9">
            <v>2.01648734739634</v>
          </cell>
          <cell r="N9">
            <v>0</v>
          </cell>
          <cell r="O9">
            <v>0.880008749504423</v>
          </cell>
          <cell r="P9">
            <v>30.2354163533706</v>
          </cell>
          <cell r="Q9">
            <v>4.78488523110996</v>
          </cell>
          <cell r="R9">
            <v>59.1275103558587</v>
          </cell>
          <cell r="S9">
            <v>52.2478571428571</v>
          </cell>
          <cell r="T9">
            <v>0</v>
          </cell>
          <cell r="U9">
            <v>0.0847608240939478</v>
          </cell>
        </row>
        <row r="10">
          <cell r="K10">
            <v>42795</v>
          </cell>
          <cell r="L10">
            <v>2.56187478547742</v>
          </cell>
          <cell r="M10">
            <v>1.70791652365161</v>
          </cell>
          <cell r="N10">
            <v>0</v>
          </cell>
          <cell r="O10">
            <v>0.0639091344334152</v>
          </cell>
          <cell r="P10">
            <v>28.9616914323745</v>
          </cell>
          <cell r="Q10">
            <v>4.26979130912903</v>
          </cell>
          <cell r="R10">
            <v>62.366500153988</v>
          </cell>
          <cell r="S10">
            <v>58.5508709677419</v>
          </cell>
          <cell r="T10">
            <v>0</v>
          </cell>
          <cell r="U10">
            <v>0.0683166609460645</v>
          </cell>
        </row>
        <row r="11">
          <cell r="K11">
            <v>42826</v>
          </cell>
          <cell r="L11">
            <v>2.71398571116678</v>
          </cell>
          <cell r="M11">
            <v>1.11574968125746</v>
          </cell>
          <cell r="N11">
            <v>0</v>
          </cell>
          <cell r="O11">
            <v>1.07220528829162</v>
          </cell>
          <cell r="P11">
            <v>30.9129003581255</v>
          </cell>
          <cell r="Q11">
            <v>4.52330951861131</v>
          </cell>
          <cell r="R11">
            <v>59.5870640585063</v>
          </cell>
          <cell r="S11">
            <v>55.2692666666667</v>
          </cell>
          <cell r="T11">
            <v>0</v>
          </cell>
          <cell r="U11">
            <v>0.0747853840410403</v>
          </cell>
        </row>
        <row r="12">
          <cell r="K12">
            <v>42856</v>
          </cell>
          <cell r="L12">
            <v>2.77689195919581</v>
          </cell>
          <cell r="M12">
            <v>1.80945863147598</v>
          </cell>
          <cell r="N12">
            <v>0</v>
          </cell>
          <cell r="O12">
            <v>2.11449872024097</v>
          </cell>
          <cell r="P12">
            <v>29.9537662418321</v>
          </cell>
          <cell r="Q12">
            <v>4.62815326532635</v>
          </cell>
          <cell r="R12">
            <v>58.6431807296836</v>
          </cell>
          <cell r="S12">
            <v>54.0172258064516</v>
          </cell>
          <cell r="T12">
            <v>0</v>
          </cell>
          <cell r="U12">
            <v>0.0740504522452217</v>
          </cell>
        </row>
        <row r="13">
          <cell r="K13">
            <v>42887</v>
          </cell>
          <cell r="L13">
            <v>2.94915267566792</v>
          </cell>
          <cell r="M13">
            <v>1.82192098630151</v>
          </cell>
          <cell r="N13">
            <v>6.53886131249091</v>
          </cell>
          <cell r="O13">
            <v>0.208144642176029</v>
          </cell>
          <cell r="P13">
            <v>26.3373752016893</v>
          </cell>
          <cell r="Q13">
            <v>4.91525445944653</v>
          </cell>
          <cell r="R13">
            <v>57.1480251818316</v>
          </cell>
          <cell r="S13">
            <v>50.8620666666667</v>
          </cell>
          <cell r="T13">
            <v>0</v>
          </cell>
          <cell r="U13">
            <v>0.0812655403961826</v>
          </cell>
        </row>
        <row r="14">
          <cell r="K14">
            <v>42917</v>
          </cell>
          <cell r="L14">
            <v>2.83447748693397</v>
          </cell>
          <cell r="M14">
            <v>1.85771044928602</v>
          </cell>
          <cell r="N14">
            <v>18.9451598706259</v>
          </cell>
          <cell r="O14">
            <v>0.00914347576430314</v>
          </cell>
          <cell r="P14">
            <v>21.8132853483725</v>
          </cell>
          <cell r="Q14">
            <v>4.72412914488995</v>
          </cell>
          <cell r="R14">
            <v>49.7405081578091</v>
          </cell>
          <cell r="S14">
            <v>52.9198064516129</v>
          </cell>
          <cell r="T14">
            <v>0</v>
          </cell>
          <cell r="U14">
            <v>0.0755860663182393</v>
          </cell>
        </row>
        <row r="15">
          <cell r="K15">
            <v>42948</v>
          </cell>
          <cell r="L15">
            <v>2.67209744133741</v>
          </cell>
          <cell r="M15">
            <v>3.18927759127368</v>
          </cell>
          <cell r="N15">
            <v>20.4584974422568</v>
          </cell>
          <cell r="O15">
            <v>0</v>
          </cell>
          <cell r="P15">
            <v>18.5866500862542</v>
          </cell>
          <cell r="Q15">
            <v>4.45349573556234</v>
          </cell>
          <cell r="R15">
            <v>50.5687257715466</v>
          </cell>
          <cell r="S15">
            <v>56.1356774193548</v>
          </cell>
          <cell r="T15">
            <v>0</v>
          </cell>
          <cell r="U15">
            <v>0.0712559317689975</v>
          </cell>
        </row>
        <row r="16">
          <cell r="K16" t="str">
            <v>Jahresmenge</v>
          </cell>
          <cell r="L16">
            <v>2.7609285494384</v>
          </cell>
          <cell r="M16">
            <v>1.88033606173588</v>
          </cell>
          <cell r="N16">
            <v>4.25380674054861</v>
          </cell>
          <cell r="O16">
            <v>0.497088165903818</v>
          </cell>
          <cell r="P16">
            <v>28.4131720749349</v>
          </cell>
          <cell r="Q16">
            <v>4.60154758239733</v>
          </cell>
          <cell r="R16">
            <v>57.5180840819988</v>
          </cell>
          <cell r="S16">
            <v>108.647605222734</v>
          </cell>
        </row>
        <row r="16">
          <cell r="U16">
            <v>0.0750367430422709</v>
          </cell>
        </row>
        <row r="156">
          <cell r="Q156">
            <v>2370296.56840214</v>
          </cell>
        </row>
        <row r="182">
          <cell r="L182">
            <v>6.50253053888959</v>
          </cell>
        </row>
        <row r="182">
          <cell r="N182">
            <v>72.1716773645822</v>
          </cell>
          <cell r="O182">
            <v>6.4648693236288</v>
          </cell>
        </row>
        <row r="182">
          <cell r="Q182">
            <v>71.5991133495372</v>
          </cell>
        </row>
        <row r="199">
          <cell r="L199">
            <v>5.58843858336115</v>
          </cell>
          <cell r="M199">
            <v>69.2599906530884</v>
          </cell>
        </row>
        <row r="220">
          <cell r="O220">
            <v>0.110091426936968</v>
          </cell>
        </row>
        <row r="220">
          <cell r="S220">
            <v>0.0991672463820829</v>
          </cell>
        </row>
        <row r="263">
          <cell r="N263">
            <v>7.8</v>
          </cell>
        </row>
        <row r="263">
          <cell r="Q263">
            <v>7.85</v>
          </cell>
        </row>
        <row r="264">
          <cell r="L264">
            <v>1747.27272727273</v>
          </cell>
          <cell r="M264">
            <v>4291.21212121212</v>
          </cell>
        </row>
        <row r="264">
          <cell r="O264">
            <v>1687.27272727273</v>
          </cell>
          <cell r="P264">
            <v>4194.09090909091</v>
          </cell>
        </row>
      </sheetData>
      <sheetData sheetId="7">
        <row r="36">
          <cell r="AJ36">
            <v>52.3</v>
          </cell>
        </row>
        <row r="67">
          <cell r="AJ67">
            <v>51.4</v>
          </cell>
        </row>
        <row r="97">
          <cell r="AJ97">
            <v>52.8</v>
          </cell>
        </row>
        <row r="128">
          <cell r="AJ128">
            <v>52.5</v>
          </cell>
        </row>
        <row r="159">
          <cell r="AJ159">
            <v>52.6</v>
          </cell>
        </row>
        <row r="187">
          <cell r="AJ187">
            <v>53</v>
          </cell>
        </row>
        <row r="218">
          <cell r="AJ218">
            <v>52.6</v>
          </cell>
        </row>
        <row r="248">
          <cell r="AJ248">
            <v>53</v>
          </cell>
        </row>
        <row r="279">
          <cell r="AJ279">
            <v>54.1</v>
          </cell>
        </row>
        <row r="309">
          <cell r="AJ309">
            <v>52.9</v>
          </cell>
        </row>
        <row r="340">
          <cell r="AJ340">
            <v>51</v>
          </cell>
        </row>
        <row r="371">
          <cell r="AJ371">
            <v>54.2</v>
          </cell>
        </row>
      </sheetData>
      <sheetData sheetId="8"/>
      <sheetData sheetId="9">
        <row r="9">
          <cell r="G9">
            <v>371802.24</v>
          </cell>
        </row>
        <row r="10">
          <cell r="G10">
            <v>394005.6</v>
          </cell>
        </row>
        <row r="11">
          <cell r="G11">
            <v>393148.8</v>
          </cell>
        </row>
        <row r="12">
          <cell r="G12">
            <v>252954.288</v>
          </cell>
        </row>
        <row r="13">
          <cell r="G13">
            <v>391799.952</v>
          </cell>
        </row>
        <row r="14">
          <cell r="G14">
            <v>403182.07488</v>
          </cell>
        </row>
        <row r="15">
          <cell r="G15">
            <v>372168.06912</v>
          </cell>
        </row>
        <row r="16">
          <cell r="G16">
            <v>395462.159999999</v>
          </cell>
        </row>
        <row r="17">
          <cell r="G17">
            <v>405468.36</v>
          </cell>
        </row>
        <row r="18">
          <cell r="G18">
            <v>382564.872</v>
          </cell>
        </row>
        <row r="19">
          <cell r="G19">
            <v>393605.352</v>
          </cell>
        </row>
        <row r="20">
          <cell r="G20">
            <v>391536.792</v>
          </cell>
        </row>
      </sheetData>
      <sheetData sheetId="10"/>
      <sheetData sheetId="11"/>
      <sheetData sheetId="12"/>
      <sheetData sheetId="1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BGA 09_Datenblatt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BGA 09_Diagramme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01 BGA Schwemsal Substrate"/>
      <sheetName val="010 Wichtung Substrate BGA 10"/>
      <sheetName val="010 Wichtung Substrate korr."/>
      <sheetName val="02 BGA Schwemsal Betr.Tageb."/>
      <sheetName val="03 DBFZ Labordaten"/>
      <sheetName val="Temp_Gaszus"/>
      <sheetName val="Tabellen für Auswertung"/>
      <sheetName val="Auswertung"/>
      <sheetName val="Finales Datenblatt"/>
      <sheetName val="Jahresverlauf"/>
      <sheetName val="Biogas_Nm"/>
      <sheetName val="Datenblatt"/>
      <sheetName val="BGA10_Datenblatt"/>
      <sheetName val="BGA10_Diagramme"/>
    </sheetNames>
    <sheetDataSet>
      <sheetData sheetId="0"/>
      <sheetData sheetId="1"/>
      <sheetData sheetId="2"/>
      <sheetData sheetId="3">
        <row r="13">
          <cell r="P13">
            <v>8498</v>
          </cell>
        </row>
        <row r="67">
          <cell r="P67">
            <v>159.8329</v>
          </cell>
        </row>
      </sheetData>
      <sheetData sheetId="4">
        <row r="44">
          <cell r="Y44">
            <v>157</v>
          </cell>
        </row>
        <row r="59">
          <cell r="Y59">
            <v>175</v>
          </cell>
        </row>
      </sheetData>
      <sheetData sheetId="5">
        <row r="20">
          <cell r="J20">
            <v>42.9363888888889</v>
          </cell>
          <cell r="K20">
            <v>42.8675462962963</v>
          </cell>
        </row>
        <row r="20">
          <cell r="M20">
            <v>51.9835185185185</v>
          </cell>
        </row>
        <row r="20">
          <cell r="O20">
            <v>61.4185185185185</v>
          </cell>
        </row>
      </sheetData>
      <sheetData sheetId="6">
        <row r="16">
          <cell r="I16">
            <v>18164.28</v>
          </cell>
        </row>
        <row r="33">
          <cell r="I33">
            <v>50.1193298259089</v>
          </cell>
        </row>
        <row r="50">
          <cell r="B50">
            <v>0.528564853657838</v>
          </cell>
        </row>
        <row r="50">
          <cell r="D50">
            <v>0.0346168414052195</v>
          </cell>
          <cell r="E50">
            <v>0.0161107404202093</v>
          </cell>
          <cell r="F50">
            <v>0.409333593183985</v>
          </cell>
        </row>
        <row r="50">
          <cell r="H50">
            <v>0.0113739713327476</v>
          </cell>
        </row>
        <row r="50">
          <cell r="N50">
            <v>4998814</v>
          </cell>
        </row>
        <row r="50">
          <cell r="Q50">
            <v>4998814</v>
          </cell>
        </row>
        <row r="84">
          <cell r="I84">
            <v>24.0451354144962</v>
          </cell>
        </row>
        <row r="84">
          <cell r="N84">
            <v>334844.767439382</v>
          </cell>
        </row>
        <row r="89">
          <cell r="Q89">
            <v>42.5</v>
          </cell>
        </row>
        <row r="89">
          <cell r="T89">
            <v>41.6</v>
          </cell>
        </row>
        <row r="101">
          <cell r="I101">
            <v>86.2160055881881</v>
          </cell>
        </row>
        <row r="118">
          <cell r="I118">
            <v>55.450297244105</v>
          </cell>
        </row>
        <row r="118">
          <cell r="Q118">
            <v>4892956.76235294</v>
          </cell>
        </row>
        <row r="123">
          <cell r="Q123">
            <v>279042.899999999</v>
          </cell>
        </row>
        <row r="124">
          <cell r="Q124">
            <v>330460</v>
          </cell>
        </row>
        <row r="125">
          <cell r="Q125">
            <v>323740</v>
          </cell>
        </row>
        <row r="126">
          <cell r="Q126">
            <v>331550</v>
          </cell>
        </row>
        <row r="127">
          <cell r="Q127">
            <v>307179.999999999</v>
          </cell>
        </row>
        <row r="128">
          <cell r="Q128">
            <v>266880</v>
          </cell>
        </row>
        <row r="129">
          <cell r="Q129">
            <v>335040</v>
          </cell>
        </row>
        <row r="130">
          <cell r="Q130">
            <v>294220.000000001</v>
          </cell>
        </row>
        <row r="131">
          <cell r="Q131">
            <v>300547.999999999</v>
          </cell>
        </row>
        <row r="132">
          <cell r="Q132">
            <v>315602.000000001</v>
          </cell>
        </row>
        <row r="133">
          <cell r="Q133">
            <v>318149.999999999</v>
          </cell>
        </row>
        <row r="134">
          <cell r="Q134">
            <v>288420.000000001</v>
          </cell>
        </row>
        <row r="135">
          <cell r="O135">
            <v>3531000</v>
          </cell>
        </row>
      </sheetData>
      <sheetData sheetId="7">
        <row r="4">
          <cell r="M4">
            <v>2.86918667402202</v>
          </cell>
        </row>
        <row r="4">
          <cell r="O4">
            <v>0.838270213225242</v>
          </cell>
          <cell r="P4">
            <v>45.550212265848</v>
          </cell>
          <cell r="Q4">
            <v>0</v>
          </cell>
          <cell r="R4">
            <v>50.6679778380064</v>
          </cell>
          <cell r="S4">
            <v>55.5906666666667</v>
          </cell>
        </row>
        <row r="4">
          <cell r="U4">
            <v>0.0743530088983762</v>
          </cell>
        </row>
        <row r="5">
          <cell r="M5">
            <v>2.5749647501175</v>
          </cell>
        </row>
        <row r="5">
          <cell r="O5">
            <v>0</v>
          </cell>
          <cell r="P5">
            <v>47.9034936550211</v>
          </cell>
          <cell r="Q5">
            <v>0</v>
          </cell>
          <cell r="R5">
            <v>49.443835187216</v>
          </cell>
          <cell r="S5">
            <v>51.4758064516129</v>
          </cell>
        </row>
        <row r="5">
          <cell r="U5">
            <v>0.0777064076453078</v>
          </cell>
        </row>
        <row r="6">
          <cell r="M6">
            <v>1.90806876136341</v>
          </cell>
        </row>
        <row r="6">
          <cell r="O6">
            <v>0.723320184046261</v>
          </cell>
          <cell r="P6">
            <v>39.2286335024581</v>
          </cell>
          <cell r="Q6">
            <v>2.98911081501513</v>
          </cell>
          <cell r="R6">
            <v>55.0694768071518</v>
          </cell>
          <cell r="S6">
            <v>50.7843333333333</v>
          </cell>
        </row>
        <row r="6">
          <cell r="U6">
            <v>0.081389929965278</v>
          </cell>
        </row>
        <row r="7">
          <cell r="M7">
            <v>1.27645187776421</v>
          </cell>
        </row>
        <row r="7">
          <cell r="O7">
            <v>0.531279970745103</v>
          </cell>
          <cell r="P7">
            <v>39.1380844942146</v>
          </cell>
          <cell r="Q7">
            <v>5.08165842147751</v>
          </cell>
          <cell r="R7">
            <v>53.886968461289</v>
          </cell>
          <cell r="S7">
            <v>46.7525806451613</v>
          </cell>
        </row>
        <row r="7">
          <cell r="U7">
            <v>0.085556774509601</v>
          </cell>
        </row>
        <row r="8">
          <cell r="M8">
            <v>0.81525164012179</v>
          </cell>
        </row>
        <row r="8">
          <cell r="O8">
            <v>0.769480799464017</v>
          </cell>
          <cell r="P8">
            <v>38.4395460063283</v>
          </cell>
          <cell r="Q8">
            <v>5.63180343745647</v>
          </cell>
          <cell r="R8">
            <v>54.2616632725488</v>
          </cell>
          <cell r="S8">
            <v>48.6293548387097</v>
          </cell>
        </row>
        <row r="8">
          <cell r="U8">
            <v>0.0822548440806363</v>
          </cell>
        </row>
        <row r="9">
          <cell r="M9">
            <v>1.08408873166777</v>
          </cell>
        </row>
        <row r="9">
          <cell r="O9">
            <v>0.689070675805144</v>
          </cell>
          <cell r="P9">
            <v>37.3866902498342</v>
          </cell>
          <cell r="Q9">
            <v>5.47571670720024</v>
          </cell>
          <cell r="R9">
            <v>55.2730488613752</v>
          </cell>
          <cell r="S9">
            <v>48.4607142857143</v>
          </cell>
        </row>
        <row r="9">
          <cell r="U9">
            <v>0.0913847741174737</v>
          </cell>
        </row>
        <row r="10">
          <cell r="M10">
            <v>1.16222184025069</v>
          </cell>
        </row>
        <row r="10">
          <cell r="O10">
            <v>0.773492351020084</v>
          </cell>
          <cell r="P10">
            <v>39.2828337586439</v>
          </cell>
          <cell r="Q10">
            <v>4.29056868215414</v>
          </cell>
          <cell r="R10">
            <v>54.4089064008145</v>
          </cell>
          <cell r="S10">
            <v>48.7941935483871</v>
          </cell>
        </row>
        <row r="10">
          <cell r="U10">
            <v>0.0819769671166585</v>
          </cell>
        </row>
        <row r="11">
          <cell r="M11">
            <v>1.4639924404754</v>
          </cell>
        </row>
        <row r="11">
          <cell r="O11">
            <v>1.330902218614</v>
          </cell>
          <cell r="P11">
            <v>42.5755619734618</v>
          </cell>
          <cell r="Q11">
            <v>3.17420179139439</v>
          </cell>
          <cell r="R11">
            <v>51.3728256385003</v>
          </cell>
          <cell r="S11">
            <v>50.0913333333333</v>
          </cell>
        </row>
        <row r="11">
          <cell r="U11">
            <v>0.0825159375540679</v>
          </cell>
        </row>
        <row r="12">
          <cell r="M12">
            <v>1.39803258686866</v>
          </cell>
        </row>
        <row r="12">
          <cell r="O12">
            <v>1.03581505299814</v>
          </cell>
          <cell r="P12">
            <v>41.7439821051829</v>
          </cell>
          <cell r="Q12">
            <v>3.88907246892555</v>
          </cell>
          <cell r="R12">
            <v>51.854299585674</v>
          </cell>
          <cell r="S12">
            <v>50.7625806451613</v>
          </cell>
        </row>
        <row r="12">
          <cell r="U12">
            <v>0.0787982003507791</v>
          </cell>
        </row>
        <row r="13">
          <cell r="M13">
            <v>2.13467753734023</v>
          </cell>
        </row>
        <row r="13">
          <cell r="O13">
            <v>1.66252144652666</v>
          </cell>
          <cell r="P13">
            <v>38.6236982457074</v>
          </cell>
          <cell r="Q13">
            <v>4.62845970713022</v>
          </cell>
          <cell r="R13">
            <v>52.8681819995478</v>
          </cell>
          <cell r="S13">
            <v>50.1246666666667</v>
          </cell>
        </row>
        <row r="13">
          <cell r="U13">
            <v>0.0824610637477223</v>
          </cell>
        </row>
        <row r="14">
          <cell r="M14">
            <v>1.23110723891056</v>
          </cell>
        </row>
        <row r="14">
          <cell r="O14">
            <v>1.71092339356289</v>
          </cell>
          <cell r="P14">
            <v>36.4849678649444</v>
          </cell>
          <cell r="Q14">
            <v>5.12645681023271</v>
          </cell>
          <cell r="R14">
            <v>55.3682588986957</v>
          </cell>
          <cell r="S14">
            <v>51.0948387096774</v>
          </cell>
        </row>
        <row r="14">
          <cell r="U14">
            <v>0.0782857936538</v>
          </cell>
        </row>
        <row r="15">
          <cell r="M15">
            <v>1.1378715025611</v>
          </cell>
        </row>
        <row r="15">
          <cell r="O15">
            <v>3.77031403826673</v>
          </cell>
          <cell r="P15">
            <v>43.5102087405653</v>
          </cell>
          <cell r="Q15">
            <v>1.84056957781044</v>
          </cell>
          <cell r="R15">
            <v>49.6525746572118</v>
          </cell>
          <cell r="S15">
            <v>45.2174193548387</v>
          </cell>
        </row>
        <row r="15">
          <cell r="U15">
            <v>0.0884614835846876</v>
          </cell>
        </row>
        <row r="16">
          <cell r="M16">
            <v>1.61107404202093</v>
          </cell>
        </row>
        <row r="16">
          <cell r="O16">
            <v>1.13739713327476</v>
          </cell>
          <cell r="P16">
            <v>40.9333593183985</v>
          </cell>
          <cell r="Q16">
            <v>3.46168414052195</v>
          </cell>
          <cell r="R16">
            <v>52.8564853657838</v>
          </cell>
          <cell r="S16">
            <v>100.279461239119</v>
          </cell>
        </row>
        <row r="16">
          <cell r="U16">
            <v>0.0409427395975725</v>
          </cell>
        </row>
        <row r="156">
          <cell r="Q156">
            <v>2666108.77147217</v>
          </cell>
        </row>
        <row r="182">
          <cell r="L182">
            <v>7.33675085949594</v>
          </cell>
        </row>
        <row r="182">
          <cell r="N182">
            <v>74.010328176636</v>
          </cell>
          <cell r="O182">
            <v>7.64274470737845</v>
          </cell>
        </row>
        <row r="182">
          <cell r="Q182">
            <v>74.7760315800996</v>
          </cell>
        </row>
        <row r="198">
          <cell r="L198">
            <v>8.03297074812683</v>
          </cell>
          <cell r="M198">
            <v>76.1327649148762</v>
          </cell>
        </row>
        <row r="203">
          <cell r="S203">
            <v>0.117980060188603</v>
          </cell>
        </row>
        <row r="204">
          <cell r="S204">
            <v>0.123117977791865</v>
          </cell>
        </row>
        <row r="205">
          <cell r="S205">
            <v>0.123526409951457</v>
          </cell>
        </row>
        <row r="206">
          <cell r="S206">
            <v>0.130617902442991</v>
          </cell>
        </row>
        <row r="207">
          <cell r="S207">
            <v>0.141815690526286</v>
          </cell>
        </row>
        <row r="208">
          <cell r="S208">
            <v>0.171001010873191</v>
          </cell>
        </row>
        <row r="209">
          <cell r="S209">
            <v>0.136282598163498</v>
          </cell>
        </row>
        <row r="210">
          <cell r="S210">
            <v>0.124884679533525</v>
          </cell>
        </row>
        <row r="211">
          <cell r="S211">
            <v>0.123996780268304</v>
          </cell>
        </row>
        <row r="212">
          <cell r="S212">
            <v>0.124287293138255</v>
          </cell>
        </row>
        <row r="213">
          <cell r="S213">
            <v>0.139425257493278</v>
          </cell>
        </row>
        <row r="214">
          <cell r="S214">
            <v>0.141595409052873</v>
          </cell>
        </row>
        <row r="215">
          <cell r="O215">
            <v>0.129093007383613</v>
          </cell>
        </row>
        <row r="215">
          <cell r="S215">
            <v>0.13321092245201</v>
          </cell>
        </row>
        <row r="259">
          <cell r="L259">
            <v>2113.33333333333</v>
          </cell>
          <cell r="M259">
            <v>4780.11253322169</v>
          </cell>
          <cell r="N259">
            <v>7.87</v>
          </cell>
          <cell r="O259">
            <v>2018.33333333333</v>
          </cell>
          <cell r="P259">
            <v>4860</v>
          </cell>
          <cell r="Q259">
            <v>7.84333333333333</v>
          </cell>
        </row>
      </sheetData>
      <sheetData sheetId="8"/>
      <sheetData sheetId="9"/>
      <sheetData sheetId="10">
        <row r="9">
          <cell r="E9">
            <v>376297.38</v>
          </cell>
        </row>
        <row r="10">
          <cell r="E10">
            <v>433762.752</v>
          </cell>
        </row>
        <row r="11">
          <cell r="E11">
            <v>427583.795999999</v>
          </cell>
        </row>
        <row r="12">
          <cell r="E12">
            <v>445861.584000001</v>
          </cell>
        </row>
        <row r="13">
          <cell r="E13">
            <v>447795.095999999</v>
          </cell>
        </row>
        <row r="14">
          <cell r="E14">
            <v>388846.236</v>
          </cell>
        </row>
        <row r="15">
          <cell r="E15">
            <v>448135.572</v>
          </cell>
        </row>
        <row r="16">
          <cell r="E16">
            <v>391446.828</v>
          </cell>
        </row>
        <row r="17">
          <cell r="E17">
            <v>437296.279405692</v>
          </cell>
        </row>
        <row r="18">
          <cell r="E18">
            <v>437297.154</v>
          </cell>
        </row>
        <row r="19">
          <cell r="E19">
            <v>445514.988</v>
          </cell>
        </row>
        <row r="20">
          <cell r="E20">
            <v>427998.12</v>
          </cell>
        </row>
      </sheetData>
      <sheetData sheetId="11"/>
      <sheetData sheetId="12"/>
      <sheetData sheetId="13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BGA 10_Datenblatt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BGA 10_Diagramme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BGA 11_Datenblatt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01 BGA Pristäblich_Substrate "/>
      <sheetName val="010 Wichtung Substrate BGA 09"/>
      <sheetName val="010 Wichtung Substrate korr."/>
      <sheetName val="02 BGA Pristäblich Betr.Tageb."/>
      <sheetName val="03 Probenanalyse DBFZ"/>
      <sheetName val="Tabellen für Auswertung"/>
      <sheetName val="Auswertung"/>
      <sheetName val="Finales Datenblatt"/>
      <sheetName val="Jahresverlauf"/>
      <sheetName val="Biogas_Nm"/>
      <sheetName val=" Datenblatt alt"/>
      <sheetName val="Datenblatt neu"/>
      <sheetName val="Diagramme für Broschüre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L2" t="str">
            <v>Prozesswasser</v>
          </cell>
          <cell r="M2" t="str">
            <v>Getreideschrot</v>
          </cell>
          <cell r="N2" t="str">
            <v>Roggen-GPS</v>
          </cell>
          <cell r="O2" t="str">
            <v>Grassilage</v>
          </cell>
          <cell r="P2" t="str">
            <v>Maissilage</v>
          </cell>
          <cell r="Q2" t="str">
            <v>Futterreste + Rindermist</v>
          </cell>
          <cell r="R2" t="str">
            <v>Rindergülle</v>
          </cell>
          <cell r="S2" t="str">
            <v>Fütterungsmenge [t/d]</v>
          </cell>
          <cell r="T2" t="str">
            <v>Rezirkulat</v>
          </cell>
          <cell r="U2" t="str">
            <v>Additive</v>
          </cell>
        </row>
        <row r="3">
          <cell r="K3">
            <v>0</v>
          </cell>
          <cell r="L3" t="str">
            <v>[%]</v>
          </cell>
          <cell r="M3" t="str">
            <v>[%]</v>
          </cell>
          <cell r="N3" t="str">
            <v>[%]</v>
          </cell>
          <cell r="O3" t="str">
            <v>[%]</v>
          </cell>
          <cell r="P3" t="str">
            <v>[%]</v>
          </cell>
          <cell r="Q3" t="str">
            <v>[%]</v>
          </cell>
          <cell r="R3" t="str">
            <v>[%]</v>
          </cell>
          <cell r="S3" t="str">
            <v>[t/d]</v>
          </cell>
        </row>
        <row r="3">
          <cell r="U3" t="str">
            <v>[%]</v>
          </cell>
        </row>
        <row r="4">
          <cell r="K4">
            <v>42614</v>
          </cell>
          <cell r="L4">
            <v>2.68736936398925</v>
          </cell>
          <cell r="M4">
            <v>1.58256195879367</v>
          </cell>
          <cell r="N4">
            <v>4.59540161242162</v>
          </cell>
          <cell r="O4">
            <v>0</v>
          </cell>
          <cell r="P4">
            <v>31.1024186324276</v>
          </cell>
          <cell r="Q4">
            <v>4.47894893998208</v>
          </cell>
          <cell r="R4">
            <v>55.4792475365781</v>
          </cell>
          <cell r="S4">
            <v>55.8166666666667</v>
          </cell>
          <cell r="T4">
            <v>0</v>
          </cell>
          <cell r="U4">
            <v>0.0740519558077038</v>
          </cell>
        </row>
        <row r="5">
          <cell r="K5">
            <v>42644</v>
          </cell>
          <cell r="L5">
            <v>2.80345095769502</v>
          </cell>
          <cell r="M5">
            <v>2.0679218892245</v>
          </cell>
          <cell r="N5">
            <v>0</v>
          </cell>
          <cell r="O5">
            <v>0</v>
          </cell>
          <cell r="P5">
            <v>33.8904061687979</v>
          </cell>
          <cell r="Q5">
            <v>4.67241826282504</v>
          </cell>
          <cell r="R5">
            <v>56.4910440292524</v>
          </cell>
          <cell r="S5">
            <v>53.5054838709677</v>
          </cell>
          <cell r="T5">
            <v>0</v>
          </cell>
          <cell r="U5">
            <v>0.0747586922052006</v>
          </cell>
        </row>
        <row r="6">
          <cell r="K6">
            <v>42675</v>
          </cell>
          <cell r="L6">
            <v>2.52194088570564</v>
          </cell>
          <cell r="M6">
            <v>2.18568210094489</v>
          </cell>
          <cell r="N6">
            <v>0</v>
          </cell>
          <cell r="O6">
            <v>0.554266563547306</v>
          </cell>
          <cell r="P6">
            <v>29.266283331652</v>
          </cell>
          <cell r="Q6">
            <v>4.2032348095094</v>
          </cell>
          <cell r="R6">
            <v>61.1990988264568</v>
          </cell>
          <cell r="S6">
            <v>59.478</v>
          </cell>
          <cell r="T6">
            <v>0</v>
          </cell>
          <cell r="U6">
            <v>0.0694934821838887</v>
          </cell>
        </row>
        <row r="7">
          <cell r="K7">
            <v>42705</v>
          </cell>
          <cell r="L7">
            <v>3.11432172751761</v>
          </cell>
          <cell r="M7">
            <v>1.03140977642519</v>
          </cell>
          <cell r="N7">
            <v>0</v>
          </cell>
          <cell r="O7">
            <v>1.17031522293855</v>
          </cell>
          <cell r="P7">
            <v>26.9230099484161</v>
          </cell>
          <cell r="Q7">
            <v>5.19053621252935</v>
          </cell>
          <cell r="R7">
            <v>62.4873585327727</v>
          </cell>
          <cell r="S7">
            <v>48.1645806451613</v>
          </cell>
          <cell r="T7">
            <v>0</v>
          </cell>
          <cell r="U7">
            <v>0.0830485794004696</v>
          </cell>
        </row>
        <row r="8">
          <cell r="K8">
            <v>42736</v>
          </cell>
          <cell r="L8">
            <v>2.73133849683576</v>
          </cell>
          <cell r="M8">
            <v>2.03235079549499</v>
          </cell>
          <cell r="N8">
            <v>0</v>
          </cell>
          <cell r="O8">
            <v>0.0390023389655687</v>
          </cell>
          <cell r="P8">
            <v>33.0085487958028</v>
          </cell>
          <cell r="Q8">
            <v>4.5522308280596</v>
          </cell>
          <cell r="R8">
            <v>57.5636930515923</v>
          </cell>
          <cell r="S8">
            <v>54.9181290322581</v>
          </cell>
          <cell r="T8">
            <v>0</v>
          </cell>
          <cell r="U8">
            <v>0.0728356932489536</v>
          </cell>
        </row>
        <row r="9">
          <cell r="K9">
            <v>42767</v>
          </cell>
          <cell r="L9">
            <v>2.87093113866597</v>
          </cell>
          <cell r="M9">
            <v>2.01648734739634</v>
          </cell>
          <cell r="N9">
            <v>0</v>
          </cell>
          <cell r="O9">
            <v>0.880008749504423</v>
          </cell>
          <cell r="P9">
            <v>30.2354163533706</v>
          </cell>
          <cell r="Q9">
            <v>4.78488523110996</v>
          </cell>
          <cell r="R9">
            <v>59.1275103558587</v>
          </cell>
          <cell r="S9">
            <v>52.2478571428571</v>
          </cell>
          <cell r="T9">
            <v>0</v>
          </cell>
          <cell r="U9">
            <v>0.0847608240939478</v>
          </cell>
        </row>
        <row r="10">
          <cell r="K10">
            <v>42795</v>
          </cell>
          <cell r="L10">
            <v>2.56187478547742</v>
          </cell>
          <cell r="M10">
            <v>1.70791652365161</v>
          </cell>
          <cell r="N10">
            <v>0</v>
          </cell>
          <cell r="O10">
            <v>0.0639091344334152</v>
          </cell>
          <cell r="P10">
            <v>28.9616914323745</v>
          </cell>
          <cell r="Q10">
            <v>4.26979130912903</v>
          </cell>
          <cell r="R10">
            <v>62.366500153988</v>
          </cell>
          <cell r="S10">
            <v>58.5508709677419</v>
          </cell>
          <cell r="T10">
            <v>0</v>
          </cell>
          <cell r="U10">
            <v>0.0683166609460645</v>
          </cell>
        </row>
        <row r="11">
          <cell r="K11">
            <v>42826</v>
          </cell>
          <cell r="L11">
            <v>2.71398571116678</v>
          </cell>
          <cell r="M11">
            <v>1.11574968125746</v>
          </cell>
          <cell r="N11">
            <v>0</v>
          </cell>
          <cell r="O11">
            <v>1.07220528829162</v>
          </cell>
          <cell r="P11">
            <v>30.9129003581255</v>
          </cell>
          <cell r="Q11">
            <v>4.52330951861131</v>
          </cell>
          <cell r="R11">
            <v>59.5870640585063</v>
          </cell>
          <cell r="S11">
            <v>55.2692666666667</v>
          </cell>
          <cell r="T11">
            <v>0</v>
          </cell>
          <cell r="U11">
            <v>0.0747853840410403</v>
          </cell>
        </row>
        <row r="12">
          <cell r="K12">
            <v>42856</v>
          </cell>
          <cell r="L12">
            <v>2.77689195919581</v>
          </cell>
          <cell r="M12">
            <v>1.80945863147598</v>
          </cell>
          <cell r="N12">
            <v>0</v>
          </cell>
          <cell r="O12">
            <v>2.11449872024097</v>
          </cell>
          <cell r="P12">
            <v>29.9537662418321</v>
          </cell>
          <cell r="Q12">
            <v>4.62815326532635</v>
          </cell>
          <cell r="R12">
            <v>58.6431807296836</v>
          </cell>
          <cell r="S12">
            <v>54.0172258064516</v>
          </cell>
          <cell r="T12">
            <v>0</v>
          </cell>
          <cell r="U12">
            <v>0.0740504522452217</v>
          </cell>
        </row>
        <row r="13">
          <cell r="K13">
            <v>42887</v>
          </cell>
          <cell r="L13">
            <v>2.94915267566792</v>
          </cell>
          <cell r="M13">
            <v>1.82192098630151</v>
          </cell>
          <cell r="N13">
            <v>6.53886131249091</v>
          </cell>
          <cell r="O13">
            <v>0.208144642176029</v>
          </cell>
          <cell r="P13">
            <v>26.3373752016893</v>
          </cell>
          <cell r="Q13">
            <v>4.91525445944653</v>
          </cell>
          <cell r="R13">
            <v>57.1480251818316</v>
          </cell>
          <cell r="S13">
            <v>50.8620666666667</v>
          </cell>
          <cell r="T13">
            <v>0</v>
          </cell>
          <cell r="U13">
            <v>0.0812655403961826</v>
          </cell>
        </row>
        <row r="14">
          <cell r="K14">
            <v>42917</v>
          </cell>
          <cell r="L14">
            <v>2.83447748693397</v>
          </cell>
          <cell r="M14">
            <v>1.85771044928602</v>
          </cell>
          <cell r="N14">
            <v>18.9451598706259</v>
          </cell>
          <cell r="O14">
            <v>0.00914347576430314</v>
          </cell>
          <cell r="P14">
            <v>21.8132853483725</v>
          </cell>
          <cell r="Q14">
            <v>4.72412914488995</v>
          </cell>
          <cell r="R14">
            <v>49.7405081578091</v>
          </cell>
          <cell r="S14">
            <v>52.9198064516129</v>
          </cell>
          <cell r="T14">
            <v>0</v>
          </cell>
          <cell r="U14">
            <v>0.0755860663182393</v>
          </cell>
        </row>
        <row r="15">
          <cell r="K15">
            <v>42948</v>
          </cell>
          <cell r="L15">
            <v>2.67209744133741</v>
          </cell>
          <cell r="M15">
            <v>3.18927759127368</v>
          </cell>
          <cell r="N15">
            <v>20.4584974422568</v>
          </cell>
          <cell r="O15">
            <v>0</v>
          </cell>
          <cell r="P15">
            <v>18.5866500862542</v>
          </cell>
          <cell r="Q15">
            <v>4.45349573556234</v>
          </cell>
          <cell r="R15">
            <v>50.5687257715466</v>
          </cell>
          <cell r="S15">
            <v>56.1356774193548</v>
          </cell>
          <cell r="T15">
            <v>0</v>
          </cell>
          <cell r="U15">
            <v>0.0712559317689975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GA 11_Diagramme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2016Erf.Technikc."/>
      <sheetName val="2016Erf.Rundg."/>
      <sheetName val="2016Erf. Futter"/>
      <sheetName val="2016BGA L."/>
      <sheetName val="2016BHKW"/>
      <sheetName val="2016Zus"/>
      <sheetName val="2016TEN"/>
      <sheetName val="2016FAnalysen"/>
      <sheetName val="BGA 11 Labordaten DBFZ"/>
      <sheetName val="BGA 11 Labordaten_DBFZ"/>
      <sheetName val="BGA 12 Laborwerte_DBFZ"/>
      <sheetName val="Tabellen für Auswertung"/>
      <sheetName val="Auswertung"/>
      <sheetName val="Finales Datenblatt"/>
      <sheetName val="Biogas_Nm"/>
      <sheetName val="Datenblatt"/>
      <sheetName val="BGA12_Datenblatt "/>
      <sheetName val="BGA12_Diagramme "/>
      <sheetName val="2017 Erf.Technikc."/>
      <sheetName val="2017 Erf.Rundg."/>
      <sheetName val="2017Erf. Futter"/>
      <sheetName val="2017 BGA L."/>
      <sheetName val="2017 BHKW"/>
      <sheetName val="2017 Zus"/>
      <sheetName val="2017 FAnalysen"/>
      <sheetName val="2016 Erf.Technikc."/>
      <sheetName val="2016 Erf.Rundg."/>
      <sheetName val="2016 Erf. Futter"/>
      <sheetName val="2016 BGA L."/>
      <sheetName val="2016 BHKW"/>
      <sheetName val="2016 Zus"/>
      <sheetName val="2016 TE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8">
          <cell r="T18">
            <v>496</v>
          </cell>
        </row>
        <row r="31">
          <cell r="T31">
            <v>206</v>
          </cell>
        </row>
      </sheetData>
      <sheetData sheetId="11">
        <row r="16">
          <cell r="J16">
            <v>10423.430001</v>
          </cell>
        </row>
        <row r="33">
          <cell r="J33">
            <v>28.953972225</v>
          </cell>
        </row>
        <row r="33">
          <cell r="P33">
            <v>8486.75</v>
          </cell>
        </row>
        <row r="50">
          <cell r="C50">
            <v>0.136606664012076</v>
          </cell>
          <cell r="D50">
            <v>0.0506503137594198</v>
          </cell>
          <cell r="E50">
            <v>0.00272559032844989</v>
          </cell>
          <cell r="F50">
            <v>0.564914812056596</v>
          </cell>
          <cell r="G50">
            <v>0.141793056590605</v>
          </cell>
          <cell r="H50">
            <v>0.103309563252853</v>
          </cell>
        </row>
        <row r="50">
          <cell r="P50">
            <v>4359384</v>
          </cell>
        </row>
        <row r="50">
          <cell r="S50">
            <v>4359384</v>
          </cell>
        </row>
        <row r="84">
          <cell r="J84">
            <v>40.8821597146278</v>
          </cell>
        </row>
        <row r="84">
          <cell r="P84">
            <v>397262.444444444</v>
          </cell>
          <cell r="Q84">
            <v>113534.5531</v>
          </cell>
          <cell r="R84">
            <v>510796.997544444</v>
          </cell>
        </row>
        <row r="101">
          <cell r="J101">
            <v>88.6051357868761</v>
          </cell>
        </row>
        <row r="118">
          <cell r="J118">
            <v>67.6136142432001</v>
          </cell>
        </row>
        <row r="123">
          <cell r="Q123">
            <v>150605.7319</v>
          </cell>
          <cell r="R123">
            <v>113200</v>
          </cell>
          <cell r="S123">
            <v>272965.7319</v>
          </cell>
        </row>
        <row r="124">
          <cell r="Q124">
            <v>136881.671</v>
          </cell>
          <cell r="R124">
            <v>133300</v>
          </cell>
          <cell r="S124">
            <v>287401.671</v>
          </cell>
        </row>
        <row r="125">
          <cell r="Q125">
            <v>159163.7444</v>
          </cell>
          <cell r="R125">
            <v>137500</v>
          </cell>
          <cell r="S125">
            <v>322763.7444</v>
          </cell>
        </row>
        <row r="126">
          <cell r="Q126">
            <v>164965.246</v>
          </cell>
          <cell r="R126">
            <v>139200</v>
          </cell>
          <cell r="S126">
            <v>326225.246</v>
          </cell>
        </row>
        <row r="127">
          <cell r="Q127">
            <v>132270.6471</v>
          </cell>
          <cell r="R127">
            <v>112900</v>
          </cell>
          <cell r="S127">
            <v>258490.6471</v>
          </cell>
        </row>
        <row r="128">
          <cell r="Q128">
            <v>134740.0076</v>
          </cell>
          <cell r="R128">
            <v>119100</v>
          </cell>
          <cell r="S128">
            <v>259590.0076</v>
          </cell>
        </row>
        <row r="129">
          <cell r="Q129">
            <v>131457.719</v>
          </cell>
          <cell r="R129">
            <v>119300</v>
          </cell>
          <cell r="S129">
            <v>254797.719</v>
          </cell>
        </row>
        <row r="130">
          <cell r="Q130">
            <v>119616.7532</v>
          </cell>
          <cell r="R130">
            <v>82700</v>
          </cell>
          <cell r="S130">
            <v>208816.7532</v>
          </cell>
        </row>
        <row r="131">
          <cell r="Q131">
            <v>143316.6317</v>
          </cell>
          <cell r="R131">
            <v>69099.9999999999</v>
          </cell>
          <cell r="S131">
            <v>212426.6317</v>
          </cell>
        </row>
        <row r="132">
          <cell r="Q132">
            <v>143073.3515</v>
          </cell>
          <cell r="R132">
            <v>72599.9999999999</v>
          </cell>
          <cell r="S132">
            <v>215673.3515</v>
          </cell>
        </row>
        <row r="133">
          <cell r="Q133">
            <v>121410.071</v>
          </cell>
          <cell r="R133">
            <v>75200</v>
          </cell>
          <cell r="S133">
            <v>196610.071</v>
          </cell>
        </row>
        <row r="134">
          <cell r="Q134">
            <v>111067.3818</v>
          </cell>
          <cell r="R134">
            <v>92600.0000000001</v>
          </cell>
          <cell r="S134">
            <v>209537.3818</v>
          </cell>
        </row>
        <row r="135">
          <cell r="P135">
            <v>110030</v>
          </cell>
        </row>
      </sheetData>
      <sheetData sheetId="12">
        <row r="4">
          <cell r="N4">
            <v>13.2237827609898</v>
          </cell>
          <cell r="O4">
            <v>10.2278486715398</v>
          </cell>
          <cell r="P4">
            <v>56.0971763884353</v>
          </cell>
          <cell r="Q4">
            <v>12.7721400655501</v>
          </cell>
          <cell r="R4">
            <v>7.36594321240722</v>
          </cell>
          <cell r="S4">
            <v>29.5956666666667</v>
          </cell>
        </row>
        <row r="4">
          <cell r="W4">
            <v>0.313108901077861</v>
          </cell>
        </row>
        <row r="5">
          <cell r="N5">
            <v>13.3047482928379</v>
          </cell>
          <cell r="O5">
            <v>10.4578900005294</v>
          </cell>
          <cell r="P5">
            <v>55.6148430469536</v>
          </cell>
          <cell r="Q5">
            <v>20.3472553067598</v>
          </cell>
          <cell r="R5">
            <v>0</v>
          </cell>
          <cell r="S5">
            <v>31.485</v>
          </cell>
        </row>
        <row r="5">
          <cell r="W5">
            <v>0.27526335291938</v>
          </cell>
        </row>
        <row r="6">
          <cell r="N6">
            <v>6.96676205150782</v>
          </cell>
          <cell r="O6">
            <v>10.5139775478759</v>
          </cell>
          <cell r="P6">
            <v>55.4435395113361</v>
          </cell>
          <cell r="Q6">
            <v>16.15562403698</v>
          </cell>
          <cell r="R6">
            <v>10.6075280651552</v>
          </cell>
          <cell r="S6">
            <v>30.2866666666667</v>
          </cell>
        </row>
        <row r="6">
          <cell r="W6">
            <v>0.312568787145058</v>
          </cell>
        </row>
        <row r="7">
          <cell r="N7">
            <v>13.374614387267</v>
          </cell>
          <cell r="O7">
            <v>10.2271203111727</v>
          </cell>
          <cell r="P7">
            <v>55.8590781061385</v>
          </cell>
          <cell r="Q7">
            <v>8.24540617874547</v>
          </cell>
          <cell r="R7">
            <v>11.8835784861627</v>
          </cell>
          <cell r="S7">
            <v>29.8226666666667</v>
          </cell>
        </row>
        <row r="7">
          <cell r="W7">
            <v>0.410202530513703</v>
          </cell>
        </row>
        <row r="8">
          <cell r="N8">
            <v>15.2465412322401</v>
          </cell>
          <cell r="O8">
            <v>10.2797640447942</v>
          </cell>
          <cell r="P8">
            <v>56.6758545386756</v>
          </cell>
          <cell r="Q8">
            <v>0</v>
          </cell>
          <cell r="R8">
            <v>17.3211361003475</v>
          </cell>
          <cell r="S8">
            <v>25.033</v>
          </cell>
        </row>
        <row r="8">
          <cell r="W8">
            <v>0.476704083942529</v>
          </cell>
        </row>
        <row r="9">
          <cell r="N9">
            <v>15.0792653556994</v>
          </cell>
          <cell r="O9">
            <v>10.062616489707</v>
          </cell>
          <cell r="P9">
            <v>57.2511570438315</v>
          </cell>
          <cell r="Q9">
            <v>0</v>
          </cell>
          <cell r="R9">
            <v>17.2101107830203</v>
          </cell>
          <cell r="S9">
            <v>31.834</v>
          </cell>
        </row>
        <row r="9">
          <cell r="W9">
            <v>0.396850327741827</v>
          </cell>
        </row>
        <row r="10">
          <cell r="N10">
            <v>15.3056025021359</v>
          </cell>
          <cell r="O10">
            <v>9.92542336206149</v>
          </cell>
          <cell r="P10">
            <v>57.0755262557895</v>
          </cell>
          <cell r="Q10">
            <v>0</v>
          </cell>
          <cell r="R10">
            <v>17.3124580015836</v>
          </cell>
          <cell r="S10">
            <v>28.7846667</v>
          </cell>
        </row>
        <row r="10">
          <cell r="W10">
            <v>0.3809898784295</v>
          </cell>
        </row>
        <row r="11">
          <cell r="N11">
            <v>16.7893925679477</v>
          </cell>
          <cell r="O11">
            <v>10.3150916163124</v>
          </cell>
          <cell r="P11">
            <v>56.9060841059765</v>
          </cell>
          <cell r="Q11">
            <v>0</v>
          </cell>
          <cell r="R11">
            <v>15.4341071996477</v>
          </cell>
          <cell r="S11">
            <v>27.2513333333333</v>
          </cell>
        </row>
        <row r="11">
          <cell r="W11">
            <v>0.555324510115713</v>
          </cell>
        </row>
        <row r="12">
          <cell r="N12">
            <v>15.4137918578189</v>
          </cell>
          <cell r="O12">
            <v>10.3384748762779</v>
          </cell>
          <cell r="P12">
            <v>56.8604077111103</v>
          </cell>
          <cell r="Q12">
            <v>0.216739515225951</v>
          </cell>
          <cell r="R12">
            <v>16.6720851545473</v>
          </cell>
          <cell r="S12">
            <v>27.683</v>
          </cell>
        </row>
        <row r="12">
          <cell r="W12">
            <v>0.498500885019687</v>
          </cell>
        </row>
        <row r="13">
          <cell r="N13">
            <v>15.3462007266014</v>
          </cell>
          <cell r="O13">
            <v>10.3250772161935</v>
          </cell>
          <cell r="P13">
            <v>54.9625457084364</v>
          </cell>
          <cell r="Q13">
            <v>0</v>
          </cell>
          <cell r="R13">
            <v>17.1236524147072</v>
          </cell>
          <cell r="S13">
            <v>28.1676666666667</v>
          </cell>
        </row>
        <row r="13">
          <cell r="W13">
            <v>0.480456315160409</v>
          </cell>
        </row>
        <row r="14">
          <cell r="N14">
            <v>14.9207361251992</v>
          </cell>
          <cell r="O14">
            <v>10.3950152151862</v>
          </cell>
          <cell r="P14">
            <v>55.7553977684394</v>
          </cell>
          <cell r="Q14">
            <v>0</v>
          </cell>
          <cell r="R14">
            <v>17.0073902332995</v>
          </cell>
          <cell r="S14">
            <v>28.7541666666667</v>
          </cell>
        </row>
        <row r="14">
          <cell r="W14">
            <v>0.354151572235908</v>
          </cell>
        </row>
        <row r="15">
          <cell r="N15">
            <v>15.2079361131836</v>
          </cell>
          <cell r="O15">
            <v>10.4009505650888</v>
          </cell>
          <cell r="P15">
            <v>56.7387880295117</v>
          </cell>
          <cell r="Q15">
            <v>0</v>
          </cell>
          <cell r="R15">
            <v>17.222913039874</v>
          </cell>
          <cell r="S15">
            <v>30.1575</v>
          </cell>
        </row>
        <row r="15">
          <cell r="W15">
            <v>0.429412252341872</v>
          </cell>
        </row>
        <row r="16">
          <cell r="M16">
            <v>0.272559032844989</v>
          </cell>
          <cell r="N16">
            <v>14.1793056590605</v>
          </cell>
          <cell r="O16">
            <v>10.3309563252853</v>
          </cell>
          <cell r="P16">
            <v>56.4914812056596</v>
          </cell>
          <cell r="Q16">
            <v>5.06503137594198</v>
          </cell>
          <cell r="R16">
            <v>13.6606664012076</v>
          </cell>
          <cell r="S16">
            <v>58.0252500055556</v>
          </cell>
        </row>
        <row r="16">
          <cell r="W16">
            <v>0.202162947241631</v>
          </cell>
        </row>
        <row r="156">
          <cell r="Q156">
            <v>2262616.94901363</v>
          </cell>
        </row>
        <row r="182">
          <cell r="L182">
            <v>12.0194302431893</v>
          </cell>
        </row>
        <row r="182">
          <cell r="N182">
            <v>73.018878979563</v>
          </cell>
          <cell r="O182">
            <v>10.950789953529</v>
          </cell>
        </row>
        <row r="182">
          <cell r="Q182">
            <v>71.5036366239394</v>
          </cell>
        </row>
        <row r="182">
          <cell r="S182">
            <v>9.93522771903899</v>
          </cell>
          <cell r="T182">
            <v>70.7329466091607</v>
          </cell>
        </row>
        <row r="203">
          <cell r="O203">
            <v>0.171996484664699</v>
          </cell>
        </row>
        <row r="203">
          <cell r="S203">
            <v>0.156751471853473</v>
          </cell>
        </row>
        <row r="204">
          <cell r="O204">
            <v>0.185332609401431</v>
          </cell>
        </row>
        <row r="205">
          <cell r="O205">
            <v>0.172292653647832</v>
          </cell>
        </row>
        <row r="205">
          <cell r="S205">
            <v>0.152102317410452</v>
          </cell>
        </row>
        <row r="206">
          <cell r="O206">
            <v>0.159407219310475</v>
          </cell>
        </row>
        <row r="206">
          <cell r="S206">
            <v>0.150075142816832</v>
          </cell>
        </row>
        <row r="207">
          <cell r="O207">
            <v>0.162694421700118</v>
          </cell>
        </row>
        <row r="207">
          <cell r="S207">
            <v>0.148461060143124</v>
          </cell>
        </row>
        <row r="208">
          <cell r="O208">
            <v>0.14698254406442</v>
          </cell>
        </row>
        <row r="209">
          <cell r="O209">
            <v>0.153233664983484</v>
          </cell>
        </row>
        <row r="210">
          <cell r="O210">
            <v>0.159644728280571</v>
          </cell>
        </row>
        <row r="210">
          <cell r="S210">
            <v>0.143964295336928</v>
          </cell>
        </row>
        <row r="211">
          <cell r="O211">
            <v>0.185795606327754</v>
          </cell>
        </row>
        <row r="211">
          <cell r="S211">
            <v>0.154405918546394</v>
          </cell>
        </row>
        <row r="212">
          <cell r="O212">
            <v>0.156697455623482</v>
          </cell>
        </row>
        <row r="212">
          <cell r="S212">
            <v>0.13591990338956</v>
          </cell>
        </row>
        <row r="213">
          <cell r="O213">
            <v>0.163539353843403</v>
          </cell>
        </row>
        <row r="214">
          <cell r="O214">
            <v>0.138747810928012</v>
          </cell>
        </row>
        <row r="215">
          <cell r="O215">
            <v>0.163030379397973</v>
          </cell>
        </row>
        <row r="215">
          <cell r="S215">
            <v>0.148811444213823</v>
          </cell>
        </row>
        <row r="236">
          <cell r="L236">
            <v>3658.33333333333</v>
          </cell>
          <cell r="M236">
            <v>6676.38888888889</v>
          </cell>
          <cell r="N236">
            <v>8.08083333333333</v>
          </cell>
          <cell r="O236">
            <v>3937.5</v>
          </cell>
          <cell r="P236">
            <v>7045.83333333333</v>
          </cell>
          <cell r="Q236">
            <v>8.16636363636363</v>
          </cell>
        </row>
      </sheetData>
      <sheetData sheetId="13">
        <row r="370">
          <cell r="K370">
            <v>43.5361643835616</v>
          </cell>
        </row>
        <row r="370">
          <cell r="N370">
            <v>41.9123287671233</v>
          </cell>
        </row>
        <row r="370">
          <cell r="AF370">
            <v>52.7076712328767</v>
          </cell>
        </row>
        <row r="370">
          <cell r="AJ370">
            <v>116.455616438356</v>
          </cell>
        </row>
      </sheetData>
      <sheetData sheetId="14">
        <row r="9">
          <cell r="E9">
            <v>377349</v>
          </cell>
        </row>
        <row r="10">
          <cell r="E10">
            <v>377410.2</v>
          </cell>
        </row>
        <row r="11">
          <cell r="E11">
            <v>388327.26</v>
          </cell>
        </row>
        <row r="12">
          <cell r="E12">
            <v>390671.22</v>
          </cell>
        </row>
        <row r="13">
          <cell r="E13">
            <v>318279.78</v>
          </cell>
        </row>
        <row r="14">
          <cell r="E14">
            <v>385880.28</v>
          </cell>
        </row>
        <row r="15">
          <cell r="E15">
            <v>364451.1</v>
          </cell>
        </row>
        <row r="16">
          <cell r="E16">
            <v>278593.62</v>
          </cell>
        </row>
        <row r="17">
          <cell r="E17">
            <v>371952.18</v>
          </cell>
        </row>
        <row r="18">
          <cell r="E18">
            <v>388345.62</v>
          </cell>
        </row>
        <row r="19">
          <cell r="E19">
            <v>387613.26</v>
          </cell>
        </row>
        <row r="20">
          <cell r="E20">
            <v>369502.14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BGA 12_Datenblatt 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2016 Erf.Technikc."/>
      <sheetName val="2016 Erf.Rundg."/>
      <sheetName val="2016 Erf. Futter"/>
      <sheetName val="2017 Erf. Futter"/>
      <sheetName val="2016 BGA L."/>
      <sheetName val="2016 BHKW"/>
      <sheetName val="2016 Zus"/>
      <sheetName val="2016 TEN"/>
      <sheetName val="BGA 11 Labordaten DBFZ"/>
      <sheetName val="BGA 11 Labordaten_DBFZ"/>
      <sheetName val="Tabellen für Auswertung"/>
      <sheetName val="Auswertung"/>
      <sheetName val="Finales Datenblatt"/>
      <sheetName val="Jahresverlauf"/>
      <sheetName val="Biogas_Nm"/>
      <sheetName val="Datenblatt alt"/>
      <sheetName val="Datenblatt neu"/>
      <sheetName val="Diagramme für Broschüre"/>
      <sheetName val="2017 Erf.Technikc."/>
      <sheetName val="2017 Erf.Rundg."/>
      <sheetName val="2017 BGA L."/>
      <sheetName val="2017 BHKW"/>
      <sheetName val="2017 Zus"/>
      <sheetName val="2017 FAnalysen"/>
      <sheetName val="Auswertung BGA  Niederdorla I_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">
          <cell r="K4">
            <v>42644</v>
          </cell>
        </row>
        <row r="4">
          <cell r="M4">
            <v>0</v>
          </cell>
        </row>
        <row r="5">
          <cell r="K5">
            <v>42675</v>
          </cell>
        </row>
        <row r="5">
          <cell r="M5">
            <v>0</v>
          </cell>
        </row>
        <row r="6">
          <cell r="K6">
            <v>42705</v>
          </cell>
        </row>
        <row r="6">
          <cell r="M6">
            <v>0</v>
          </cell>
        </row>
        <row r="7">
          <cell r="K7">
            <v>42736</v>
          </cell>
        </row>
        <row r="7">
          <cell r="M7">
            <v>0</v>
          </cell>
        </row>
        <row r="8">
          <cell r="K8">
            <v>42767</v>
          </cell>
        </row>
        <row r="8">
          <cell r="M8">
            <v>0</v>
          </cell>
        </row>
        <row r="9">
          <cell r="K9">
            <v>42795</v>
          </cell>
        </row>
        <row r="9">
          <cell r="M9">
            <v>0</v>
          </cell>
        </row>
        <row r="10">
          <cell r="K10">
            <v>42826</v>
          </cell>
        </row>
        <row r="10">
          <cell r="M10">
            <v>0</v>
          </cell>
        </row>
        <row r="11">
          <cell r="K11">
            <v>42856</v>
          </cell>
        </row>
        <row r="11">
          <cell r="M11">
            <v>0</v>
          </cell>
        </row>
        <row r="12">
          <cell r="K12">
            <v>42887</v>
          </cell>
        </row>
        <row r="12">
          <cell r="M12">
            <v>0</v>
          </cell>
        </row>
        <row r="13">
          <cell r="K13">
            <v>42917</v>
          </cell>
        </row>
        <row r="13">
          <cell r="M13">
            <v>1.91835705851918</v>
          </cell>
        </row>
        <row r="14">
          <cell r="K14">
            <v>42948</v>
          </cell>
        </row>
        <row r="14">
          <cell r="M14">
            <v>1.64856698567618</v>
          </cell>
        </row>
        <row r="15">
          <cell r="K15">
            <v>42979</v>
          </cell>
        </row>
        <row r="15">
          <cell r="M15">
            <v>0</v>
          </cell>
        </row>
        <row r="16">
          <cell r="K16" t="str">
            <v>Jahresmenge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BGA 12_Diagramme 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Zuordnung_Gesamtübersicht"/>
      <sheetName val="BGA09_Datenblatt"/>
      <sheetName val="BGA09_Diagramme"/>
      <sheetName val="BGA 09_Ökonomie_vorläufig"/>
      <sheetName val="BGA10_Datenblatt"/>
      <sheetName val="BGA10_Diagramme"/>
      <sheetName val="BGA 10_Ökonomie_vorläufig"/>
      <sheetName val="BGA11_Datenblatt"/>
      <sheetName val="BGA11_Diagramme"/>
      <sheetName val="BGA 11_Ökonomie_vorläufig"/>
      <sheetName val="BGA12_Datenblatt "/>
      <sheetName val="BGA12_Diagramme "/>
      <sheetName val="BGA 12_Ökonomie_vorläufig"/>
      <sheetName val="BGA 13_Datenblatt"/>
      <sheetName val="BGA 13_Diagramme"/>
      <sheetName val="BGA 13_Ökonomie_vorläufig"/>
      <sheetName val="BGA 14_Datenblatt"/>
      <sheetName val="BGA 14_Diagramme"/>
      <sheetName val="BGA 14_Ökonomie_vorläufig"/>
      <sheetName val="BGA 15_Datenblatt"/>
      <sheetName val="BGA 15_Diagramme"/>
      <sheetName val="BGA 15_Ökonomie_vorläufig"/>
      <sheetName val="BGA 16_Datenblatt"/>
      <sheetName val="BGA 16_Diagramme"/>
      <sheetName val="BGA 16_Ökonomie_vorläufig"/>
      <sheetName val="BGA 40_Datenblatt"/>
      <sheetName val="BGA 40_Diagramme"/>
      <sheetName val="BGA 40_Ökonomie_vorläufig"/>
      <sheetName val="BGA 41_Datenblatt"/>
      <sheetName val="BGA 41_Diagramme"/>
      <sheetName val="BGA 41_Ökonomie_vorläufig"/>
      <sheetName val="BGA 42_Datenblatt"/>
      <sheetName val="BGA 42_Diagramme"/>
      <sheetName val="BGA 42 Ökonomie_vorläufig"/>
      <sheetName val="BGA 43_Datenblatt"/>
      <sheetName val="BGA 43_Diagramme"/>
      <sheetName val="BGA 43_Ökonomie_vorläufig"/>
      <sheetName val="BGA 44_Datenblatt"/>
      <sheetName val="BGA 44_Diagramme"/>
      <sheetName val="BGA 44_Ökonomie_vorläufig"/>
      <sheetName val="BGA 45_Datenblatt"/>
      <sheetName val="BGA 45_Diagramme"/>
      <sheetName val="BGA 45_KEINE ÖKONOMIE!!!"/>
      <sheetName val="BGA 46_Datenblatt"/>
      <sheetName val="BGA 46_Diagramme"/>
      <sheetName val="BGA 46_Ökonomie_vorläu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Rindergülle</v>
          </cell>
          <cell r="C1" t="str">
            <v>Maissilage</v>
          </cell>
          <cell r="D1" t="str">
            <v>Getreideschrot</v>
          </cell>
          <cell r="E1" t="str">
            <v>Kleie</v>
          </cell>
          <cell r="F1" t="str">
            <v>Grassilage</v>
          </cell>
        </row>
        <row r="1">
          <cell r="H1" t="str">
            <v>Fütterungsmenge [t/d]</v>
          </cell>
        </row>
        <row r="1">
          <cell r="J1" t="str">
            <v>Additive</v>
          </cell>
        </row>
        <row r="3">
          <cell r="B3">
            <v>72.4120880165839</v>
          </cell>
          <cell r="C3">
            <v>23.5826629390845</v>
          </cell>
          <cell r="D3">
            <v>3.94629238698389</v>
          </cell>
          <cell r="E3">
            <v>0</v>
          </cell>
          <cell r="F3">
            <v>0</v>
          </cell>
        </row>
        <row r="3">
          <cell r="H3">
            <v>67.8464516129032</v>
          </cell>
        </row>
        <row r="3">
          <cell r="J3">
            <v>0.0589566573477112</v>
          </cell>
        </row>
        <row r="4">
          <cell r="B4">
            <v>72.8382400760399</v>
          </cell>
          <cell r="C4">
            <v>23.2121863978589</v>
          </cell>
          <cell r="D4">
            <v>3.88954200955502</v>
          </cell>
          <cell r="E4">
            <v>0</v>
          </cell>
          <cell r="F4">
            <v>0</v>
          </cell>
        </row>
        <row r="4">
          <cell r="H4">
            <v>66.6316666666667</v>
          </cell>
        </row>
        <row r="4">
          <cell r="J4">
            <v>0.0600315165461867</v>
          </cell>
        </row>
        <row r="5">
          <cell r="B5">
            <v>70.6246425361549</v>
          </cell>
          <cell r="C5">
            <v>25.2778004738949</v>
          </cell>
          <cell r="D5">
            <v>4.03423482310646</v>
          </cell>
          <cell r="E5">
            <v>0</v>
          </cell>
          <cell r="F5">
            <v>0</v>
          </cell>
        </row>
        <row r="5">
          <cell r="H5">
            <v>63.1690322580645</v>
          </cell>
        </row>
        <row r="5">
          <cell r="J5">
            <v>0.0633221668436964</v>
          </cell>
        </row>
        <row r="6">
          <cell r="B6">
            <v>71.4036350941502</v>
          </cell>
          <cell r="C6">
            <v>23.9466736488403</v>
          </cell>
          <cell r="D6">
            <v>4.58205144989199</v>
          </cell>
          <cell r="E6">
            <v>0</v>
          </cell>
          <cell r="F6">
            <v>0</v>
          </cell>
        </row>
        <row r="6">
          <cell r="H6">
            <v>59.1367741935484</v>
          </cell>
        </row>
        <row r="6">
          <cell r="J6">
            <v>0.0676398071174533</v>
          </cell>
        </row>
        <row r="7">
          <cell r="B7">
            <v>73.7701138826133</v>
          </cell>
          <cell r="C7">
            <v>22.8226289824335</v>
          </cell>
          <cell r="D7">
            <v>3.34270828530592</v>
          </cell>
          <cell r="E7">
            <v>0</v>
          </cell>
          <cell r="F7">
            <v>0</v>
          </cell>
        </row>
        <row r="7">
          <cell r="H7">
            <v>61.9685714285714</v>
          </cell>
        </row>
        <row r="7">
          <cell r="J7">
            <v>0.0645488496472867</v>
          </cell>
        </row>
        <row r="8">
          <cell r="B8">
            <v>71.0773887839188</v>
          </cell>
          <cell r="C8">
            <v>24.5333227813665</v>
          </cell>
          <cell r="D8">
            <v>4.32795512776124</v>
          </cell>
          <cell r="E8">
            <v>0</v>
          </cell>
          <cell r="F8">
            <v>0</v>
          </cell>
        </row>
        <row r="8">
          <cell r="H8">
            <v>65.2174193548387</v>
          </cell>
        </row>
        <row r="8">
          <cell r="J8">
            <v>0.0613333069534164</v>
          </cell>
        </row>
        <row r="9">
          <cell r="B9">
            <v>70.3563468406778</v>
          </cell>
          <cell r="C9">
            <v>24.973817771691</v>
          </cell>
          <cell r="D9">
            <v>4.06831547571095</v>
          </cell>
          <cell r="E9">
            <v>0</v>
          </cell>
          <cell r="F9">
            <v>0.537071349928838</v>
          </cell>
        </row>
        <row r="9">
          <cell r="H9">
            <v>62.065</v>
          </cell>
        </row>
        <row r="9">
          <cell r="J9">
            <v>0.0644485619914606</v>
          </cell>
        </row>
        <row r="10">
          <cell r="B10">
            <v>73.8263821044044</v>
          </cell>
          <cell r="C10">
            <v>20.0932649793024</v>
          </cell>
          <cell r="D10">
            <v>5.06108553989948</v>
          </cell>
          <cell r="E10">
            <v>0</v>
          </cell>
          <cell r="F10">
            <v>0.956822141871544</v>
          </cell>
        </row>
        <row r="10">
          <cell r="H10">
            <v>64.0561290322581</v>
          </cell>
        </row>
        <row r="10">
          <cell r="J10">
            <v>0.0624452345221429</v>
          </cell>
        </row>
        <row r="11">
          <cell r="B11">
            <v>74.7113552292344</v>
          </cell>
          <cell r="C11">
            <v>16.8703060195045</v>
          </cell>
          <cell r="D11">
            <v>8.35108171729627</v>
          </cell>
          <cell r="E11">
            <v>0</v>
          </cell>
          <cell r="F11">
            <v>0</v>
          </cell>
        </row>
        <row r="11">
          <cell r="H11">
            <v>59.4733333333333</v>
          </cell>
        </row>
        <row r="11">
          <cell r="J11">
            <v>0.0672570339648021</v>
          </cell>
        </row>
        <row r="12">
          <cell r="B12">
            <v>74.8108602503306</v>
          </cell>
          <cell r="C12">
            <v>17.1493334128665</v>
          </cell>
          <cell r="D12">
            <v>3.98908407647111</v>
          </cell>
          <cell r="E12">
            <v>3.98908407647111</v>
          </cell>
          <cell r="F12">
            <v>0</v>
          </cell>
        </row>
        <row r="12">
          <cell r="H12">
            <v>64.8948387096774</v>
          </cell>
        </row>
        <row r="12">
          <cell r="J12">
            <v>0.0616381838607375</v>
          </cell>
        </row>
        <row r="13">
          <cell r="B13">
            <v>72.2694835302181</v>
          </cell>
          <cell r="C13">
            <v>22.6283110914002</v>
          </cell>
          <cell r="D13">
            <v>2.51985646897553</v>
          </cell>
          <cell r="E13">
            <v>2.51985646897553</v>
          </cell>
          <cell r="F13">
            <v>0</v>
          </cell>
        </row>
        <row r="13">
          <cell r="H13">
            <v>64.0077419354839</v>
          </cell>
        </row>
        <row r="13">
          <cell r="J13">
            <v>0.0624924404305931</v>
          </cell>
        </row>
        <row r="14">
          <cell r="B14">
            <v>73.4594005159712</v>
          </cell>
          <cell r="C14">
            <v>22.1814409957712</v>
          </cell>
          <cell r="D14">
            <v>2.14766350168887</v>
          </cell>
          <cell r="E14">
            <v>2.14766350168887</v>
          </cell>
          <cell r="F14">
            <v>0</v>
          </cell>
        </row>
        <row r="14">
          <cell r="H14">
            <v>62.665</v>
          </cell>
        </row>
        <row r="14">
          <cell r="J14">
            <v>0.063831484879917</v>
          </cell>
        </row>
        <row r="38">
          <cell r="B38" t="str">
            <v>Elektrische Auslastung</v>
          </cell>
          <cell r="C38" t="str">
            <v>Thermische Auslastung durch Fremdnutzer</v>
          </cell>
        </row>
        <row r="40">
          <cell r="B40">
            <v>0.990087935119373</v>
          </cell>
          <cell r="C40">
            <v>0.490262191132808</v>
          </cell>
        </row>
        <row r="41">
          <cell r="B41">
            <v>0.955595574387947</v>
          </cell>
          <cell r="C41">
            <v>0.523543941757669</v>
          </cell>
        </row>
        <row r="42">
          <cell r="B42">
            <v>0.965873883725169</v>
          </cell>
          <cell r="C42">
            <v>0.527772885108955</v>
          </cell>
        </row>
        <row r="43">
          <cell r="B43">
            <v>0.887648077273556</v>
          </cell>
          <cell r="C43">
            <v>0.355872460704881</v>
          </cell>
        </row>
        <row r="44">
          <cell r="B44">
            <v>0.836791263115416</v>
          </cell>
          <cell r="C44">
            <v>0.45393405021915</v>
          </cell>
        </row>
        <row r="45">
          <cell r="B45">
            <v>0.943224895206853</v>
          </cell>
          <cell r="C45">
            <v>0.476202757787731</v>
          </cell>
        </row>
        <row r="46">
          <cell r="B46">
            <v>0.990816854990584</v>
          </cell>
          <cell r="C46">
            <v>0.453107124284972</v>
          </cell>
        </row>
        <row r="47">
          <cell r="B47">
            <v>0.953695097503189</v>
          </cell>
          <cell r="C47">
            <v>0.580301276567193</v>
          </cell>
        </row>
        <row r="48">
          <cell r="B48">
            <v>0.931245291902072</v>
          </cell>
          <cell r="C48">
            <v>0.477769110764431</v>
          </cell>
        </row>
        <row r="49">
          <cell r="B49">
            <v>0.981879897940587</v>
          </cell>
          <cell r="C49">
            <v>0.391093385670911</v>
          </cell>
        </row>
        <row r="50">
          <cell r="B50">
            <v>0.964131128121013</v>
          </cell>
          <cell r="C50">
            <v>0.43368266988744</v>
          </cell>
        </row>
        <row r="51">
          <cell r="B51">
            <v>0.918166195856874</v>
          </cell>
          <cell r="C51">
            <v>0.498526607730978</v>
          </cell>
        </row>
      </sheetData>
      <sheetData sheetId="15"/>
      <sheetData sheetId="16"/>
      <sheetData sheetId="17">
        <row r="1">
          <cell r="B1" t="str">
            <v>Rindermist</v>
          </cell>
          <cell r="C1" t="str">
            <v>Rindergülle</v>
          </cell>
          <cell r="D1" t="str">
            <v>Maissilage</v>
          </cell>
          <cell r="E1" t="str">
            <v>Getreideschrot</v>
          </cell>
          <cell r="F1" t="str">
            <v>Zuckerrüben</v>
          </cell>
          <cell r="G1" t="str">
            <v>Grassilage</v>
          </cell>
          <cell r="H1" t="str">
            <v>Kartoffeln</v>
          </cell>
          <cell r="I1" t="str">
            <v>Fütterungsmenge [t/d]</v>
          </cell>
        </row>
        <row r="1">
          <cell r="K1" t="str">
            <v>Additive</v>
          </cell>
        </row>
        <row r="3">
          <cell r="B3">
            <v>5.21479439467034</v>
          </cell>
          <cell r="C3">
            <v>68.320698368941</v>
          </cell>
          <cell r="D3">
            <v>14.2889960946474</v>
          </cell>
          <cell r="E3">
            <v>1.60808637721112</v>
          </cell>
          <cell r="F3">
            <v>3.81346198024351</v>
          </cell>
          <cell r="G3">
            <v>6.7539627842867</v>
          </cell>
          <cell r="H3">
            <v>0</v>
          </cell>
          <cell r="I3">
            <v>70.2096774193548</v>
          </cell>
        </row>
        <row r="3">
          <cell r="K3">
            <v>0</v>
          </cell>
        </row>
        <row r="4">
          <cell r="B4">
            <v>5.02734539335297</v>
          </cell>
          <cell r="C4">
            <v>70.3828355069415</v>
          </cell>
          <cell r="D4">
            <v>12.620950778292</v>
          </cell>
          <cell r="E4">
            <v>1.2620950778292</v>
          </cell>
          <cell r="F4">
            <v>5.04838031131679</v>
          </cell>
          <cell r="G4">
            <v>5.65839293226756</v>
          </cell>
          <cell r="H4">
            <v>0</v>
          </cell>
          <cell r="I4">
            <v>76.6774193548387</v>
          </cell>
        </row>
        <row r="4">
          <cell r="K4">
            <v>0</v>
          </cell>
        </row>
        <row r="5">
          <cell r="B5">
            <v>5.62195661797255</v>
          </cell>
          <cell r="C5">
            <v>67.286409915892</v>
          </cell>
          <cell r="D5">
            <v>13.7228862328464</v>
          </cell>
          <cell r="E5">
            <v>1.63789287295263</v>
          </cell>
          <cell r="F5">
            <v>5.48915449313856</v>
          </cell>
          <cell r="G5">
            <v>6.24169986719787</v>
          </cell>
          <cell r="H5">
            <v>0</v>
          </cell>
          <cell r="I5">
            <v>72.8709677419355</v>
          </cell>
        </row>
        <row r="5">
          <cell r="K5">
            <v>0</v>
          </cell>
        </row>
        <row r="6">
          <cell r="B6">
            <v>4.76080425236885</v>
          </cell>
          <cell r="C6">
            <v>69.1934365611278</v>
          </cell>
          <cell r="D6">
            <v>16.1081580771897</v>
          </cell>
          <cell r="E6">
            <v>2.03374162237116</v>
          </cell>
          <cell r="F6">
            <v>1.38664201525306</v>
          </cell>
          <cell r="G6">
            <v>6.51721747168939</v>
          </cell>
          <cell r="H6">
            <v>0</v>
          </cell>
          <cell r="I6">
            <v>69.7903225806452</v>
          </cell>
        </row>
        <row r="6">
          <cell r="K6">
            <v>0</v>
          </cell>
        </row>
        <row r="7">
          <cell r="B7">
            <v>3.84990253411306</v>
          </cell>
          <cell r="C7">
            <v>70.8089668615984</v>
          </cell>
          <cell r="D7">
            <v>17.8849902534113</v>
          </cell>
          <cell r="E7">
            <v>1.87621832358674</v>
          </cell>
          <cell r="F7">
            <v>0</v>
          </cell>
          <cell r="G7">
            <v>5.57992202729045</v>
          </cell>
          <cell r="H7">
            <v>0</v>
          </cell>
          <cell r="I7">
            <v>66.1935483870968</v>
          </cell>
        </row>
        <row r="7">
          <cell r="K7">
            <v>0</v>
          </cell>
        </row>
        <row r="8">
          <cell r="B8">
            <v>5.08669497523001</v>
          </cell>
          <cell r="C8">
            <v>69.6656050955414</v>
          </cell>
          <cell r="D8">
            <v>17.4274593064402</v>
          </cell>
          <cell r="E8">
            <v>2.24699221514508</v>
          </cell>
          <cell r="F8">
            <v>0</v>
          </cell>
          <cell r="G8">
            <v>5.57324840764331</v>
          </cell>
          <cell r="H8">
            <v>0</v>
          </cell>
          <cell r="I8">
            <v>72.9290322580645</v>
          </cell>
        </row>
        <row r="8">
          <cell r="K8">
            <v>0</v>
          </cell>
        </row>
        <row r="9">
          <cell r="B9">
            <v>3.6620191500084</v>
          </cell>
          <cell r="C9">
            <v>77.9774903410045</v>
          </cell>
          <cell r="D9">
            <v>11.5236015454393</v>
          </cell>
          <cell r="E9">
            <v>1.3270619855535</v>
          </cell>
          <cell r="F9">
            <v>0</v>
          </cell>
          <cell r="G9">
            <v>4.21636149840417</v>
          </cell>
          <cell r="H9">
            <v>1.29346547959012</v>
          </cell>
          <cell r="I9">
            <v>96.0161290322581</v>
          </cell>
        </row>
        <row r="9">
          <cell r="K9">
            <v>0</v>
          </cell>
        </row>
        <row r="10">
          <cell r="B10">
            <v>5.07528336998816</v>
          </cell>
          <cell r="C10">
            <v>70.7156149551683</v>
          </cell>
          <cell r="D10">
            <v>11.2502114701404</v>
          </cell>
          <cell r="E10">
            <v>1.05312129927254</v>
          </cell>
          <cell r="F10">
            <v>0</v>
          </cell>
          <cell r="G10">
            <v>6.28066317036035</v>
          </cell>
          <cell r="H10">
            <v>5.62510573507021</v>
          </cell>
          <cell r="I10">
            <v>76.2709677419355</v>
          </cell>
        </row>
        <row r="10">
          <cell r="K10">
            <v>0</v>
          </cell>
        </row>
        <row r="11">
          <cell r="B11">
            <v>4.45847684653655</v>
          </cell>
          <cell r="C11">
            <v>71.5269804822044</v>
          </cell>
          <cell r="D11">
            <v>9.68235744355147</v>
          </cell>
          <cell r="E11">
            <v>1.09070034443169</v>
          </cell>
          <cell r="F11">
            <v>0</v>
          </cell>
          <cell r="G11">
            <v>6.62074244163796</v>
          </cell>
          <cell r="H11">
            <v>6.62074244163796</v>
          </cell>
          <cell r="I11">
            <v>84.2903225806452</v>
          </cell>
        </row>
        <row r="11">
          <cell r="K11">
            <v>0</v>
          </cell>
        </row>
        <row r="12">
          <cell r="B12">
            <v>4.82578721818521</v>
          </cell>
          <cell r="C12">
            <v>71.8837339295696</v>
          </cell>
          <cell r="D12">
            <v>10.7136202720328</v>
          </cell>
          <cell r="E12">
            <v>1.30426681572573</v>
          </cell>
          <cell r="F12">
            <v>0</v>
          </cell>
          <cell r="G12">
            <v>7.47158561580026</v>
          </cell>
          <cell r="H12">
            <v>3.80100614868642</v>
          </cell>
          <cell r="I12">
            <v>86.5645161290323</v>
          </cell>
        </row>
        <row r="12">
          <cell r="K12">
            <v>0</v>
          </cell>
        </row>
        <row r="13">
          <cell r="B13">
            <v>4.6927374301676</v>
          </cell>
          <cell r="C13">
            <v>71.5083798882682</v>
          </cell>
          <cell r="D13">
            <v>13.6685288640596</v>
          </cell>
          <cell r="E13">
            <v>1.65735567970205</v>
          </cell>
          <cell r="F13">
            <v>0</v>
          </cell>
          <cell r="G13">
            <v>8.47299813780261</v>
          </cell>
          <cell r="H13">
            <v>0</v>
          </cell>
          <cell r="I13">
            <v>86.6129032258064</v>
          </cell>
        </row>
        <row r="13">
          <cell r="K13">
            <v>0</v>
          </cell>
        </row>
        <row r="14">
          <cell r="B14">
            <v>5.65742397137746</v>
          </cell>
          <cell r="C14">
            <v>66.3685152057245</v>
          </cell>
          <cell r="D14">
            <v>16.1001788908766</v>
          </cell>
          <cell r="E14">
            <v>1.92307692307692</v>
          </cell>
          <cell r="F14">
            <v>0.536672629695885</v>
          </cell>
          <cell r="G14">
            <v>9.41413237924866</v>
          </cell>
          <cell r="H14">
            <v>0</v>
          </cell>
          <cell r="I14">
            <v>72.1290322580645</v>
          </cell>
        </row>
        <row r="14">
          <cell r="K14">
            <v>0</v>
          </cell>
        </row>
        <row r="40">
          <cell r="F40" t="str">
            <v>Elektrische Auslastung</v>
          </cell>
          <cell r="G40" t="str">
            <v>Thermische Auslastung durch Fremdnutzer</v>
          </cell>
        </row>
        <row r="42">
          <cell r="A42">
            <v>42644</v>
          </cell>
        </row>
        <row r="42">
          <cell r="F42">
            <v>0.966781978964687</v>
          </cell>
          <cell r="G42">
            <v>0.1636180693218</v>
          </cell>
        </row>
        <row r="43">
          <cell r="A43">
            <v>42675</v>
          </cell>
        </row>
        <row r="43">
          <cell r="F43">
            <v>0.987852762598664</v>
          </cell>
          <cell r="G43">
            <v>0.287502586385268</v>
          </cell>
        </row>
        <row r="44">
          <cell r="A44">
            <v>42705</v>
          </cell>
        </row>
        <row r="44">
          <cell r="F44">
            <v>0.995664698278395</v>
          </cell>
          <cell r="G44">
            <v>0.284836106605795</v>
          </cell>
        </row>
        <row r="45">
          <cell r="A45">
            <v>42736</v>
          </cell>
        </row>
        <row r="45">
          <cell r="F45">
            <v>0.952929960632235</v>
          </cell>
          <cell r="G45">
            <v>0.326435193528363</v>
          </cell>
        </row>
        <row r="46">
          <cell r="A46">
            <v>42767</v>
          </cell>
        </row>
        <row r="46">
          <cell r="F46">
            <v>0.97388368462139</v>
          </cell>
          <cell r="G46">
            <v>0.281380242972422</v>
          </cell>
        </row>
        <row r="47">
          <cell r="A47">
            <v>42795</v>
          </cell>
        </row>
        <row r="47">
          <cell r="F47">
            <v>0.989676391092309</v>
          </cell>
          <cell r="G47">
            <v>0.227568530866422</v>
          </cell>
        </row>
        <row r="48">
          <cell r="A48">
            <v>42826</v>
          </cell>
        </row>
        <row r="48">
          <cell r="F48">
            <v>0.99005904675167</v>
          </cell>
          <cell r="G48">
            <v>0.190487274984482</v>
          </cell>
        </row>
        <row r="49">
          <cell r="A49">
            <v>42856</v>
          </cell>
        </row>
        <row r="49">
          <cell r="F49">
            <v>0.972735325224749</v>
          </cell>
          <cell r="G49">
            <v>0.114685328687852</v>
          </cell>
        </row>
        <row r="50">
          <cell r="A50">
            <v>42887</v>
          </cell>
        </row>
        <row r="50">
          <cell r="F50">
            <v>0.95739313904068</v>
          </cell>
          <cell r="G50">
            <v>0.0924115456238361</v>
          </cell>
        </row>
        <row r="51">
          <cell r="A51">
            <v>42917</v>
          </cell>
        </row>
        <row r="51">
          <cell r="F51">
            <v>0.923842470180387</v>
          </cell>
          <cell r="G51">
            <v>0.0797691275705332</v>
          </cell>
        </row>
        <row r="52">
          <cell r="A52">
            <v>42948</v>
          </cell>
        </row>
        <row r="52">
          <cell r="F52">
            <v>0.940768552793936</v>
          </cell>
          <cell r="G52">
            <v>0.0961634728980197</v>
          </cell>
        </row>
        <row r="53">
          <cell r="A53">
            <v>42979</v>
          </cell>
        </row>
        <row r="53">
          <cell r="F53">
            <v>0.974302823315118</v>
          </cell>
          <cell r="G53">
            <v>0.121585971446307</v>
          </cell>
        </row>
      </sheetData>
      <sheetData sheetId="18"/>
      <sheetData sheetId="19"/>
      <sheetData sheetId="20"/>
      <sheetData sheetId="21"/>
      <sheetData sheetId="22"/>
      <sheetData sheetId="23">
        <row r="1">
          <cell r="B1" t="str">
            <v>Rindergülle</v>
          </cell>
          <cell r="C1" t="str">
            <v>Rindermist</v>
          </cell>
          <cell r="D1" t="str">
            <v>Grassilage</v>
          </cell>
          <cell r="E1" t="str">
            <v>Milchzuckermelasse</v>
          </cell>
          <cell r="F1" t="str">
            <v>Fütterungsmenge [t/d]</v>
          </cell>
        </row>
        <row r="3">
          <cell r="A3">
            <v>42705</v>
          </cell>
          <cell r="B3">
            <v>55.6930693069307</v>
          </cell>
          <cell r="C3">
            <v>17.9042904290429</v>
          </cell>
          <cell r="D3">
            <v>18.8943894389439</v>
          </cell>
          <cell r="E3">
            <v>7.50825082508251</v>
          </cell>
          <cell r="F3">
            <v>78.1935483870968</v>
          </cell>
        </row>
        <row r="4">
          <cell r="A4">
            <v>42736</v>
          </cell>
          <cell r="B4">
            <v>52.4443069306931</v>
          </cell>
          <cell r="C4">
            <v>25.0618811881188</v>
          </cell>
          <cell r="D4">
            <v>18.4715346534653</v>
          </cell>
          <cell r="E4">
            <v>4.02227722772277</v>
          </cell>
          <cell r="F4">
            <v>104.258064516129</v>
          </cell>
        </row>
        <row r="5">
          <cell r="A5">
            <v>42767</v>
          </cell>
          <cell r="B5">
            <v>58.1136053410458</v>
          </cell>
          <cell r="C5">
            <v>23.5833119349128</v>
          </cell>
          <cell r="D5">
            <v>13.8188747584231</v>
          </cell>
          <cell r="E5">
            <v>4.48420796561837</v>
          </cell>
          <cell r="F5">
            <v>105.704285714286</v>
          </cell>
        </row>
        <row r="6">
          <cell r="A6">
            <v>42795</v>
          </cell>
          <cell r="B6">
            <v>56.110490908347</v>
          </cell>
          <cell r="C6">
            <v>23.0871290716636</v>
          </cell>
          <cell r="D6">
            <v>15.4303849997954</v>
          </cell>
          <cell r="E6">
            <v>5.37199502019393</v>
          </cell>
          <cell r="F6">
            <v>110.381290322581</v>
          </cell>
        </row>
        <row r="7">
          <cell r="A7">
            <v>42826</v>
          </cell>
          <cell r="B7">
            <v>57.3245001236739</v>
          </cell>
          <cell r="C7">
            <v>19.9215172441455</v>
          </cell>
          <cell r="D7">
            <v>16.6124061582892</v>
          </cell>
          <cell r="E7">
            <v>6.14157647389145</v>
          </cell>
          <cell r="F7">
            <v>99.7246666666667</v>
          </cell>
        </row>
        <row r="8">
          <cell r="A8">
            <v>42856</v>
          </cell>
          <cell r="B8">
            <v>56.6860744413059</v>
          </cell>
          <cell r="C8">
            <v>23.379002453194</v>
          </cell>
          <cell r="D8">
            <v>13.931323379643</v>
          </cell>
          <cell r="E8">
            <v>6.00359972585718</v>
          </cell>
          <cell r="F8">
            <v>100.724516129032</v>
          </cell>
        </row>
        <row r="9">
          <cell r="A9">
            <v>42887</v>
          </cell>
          <cell r="B9">
            <v>52.9509025566745</v>
          </cell>
          <cell r="C9">
            <v>19.9505336084503</v>
          </cell>
          <cell r="D9">
            <v>21.692789111928</v>
          </cell>
          <cell r="E9">
            <v>5.40577472294721</v>
          </cell>
          <cell r="F9">
            <v>97.5746666666667</v>
          </cell>
        </row>
        <row r="10">
          <cell r="A10">
            <v>42917</v>
          </cell>
          <cell r="B10">
            <v>56.735612047857</v>
          </cell>
          <cell r="C10">
            <v>17.4851857012986</v>
          </cell>
          <cell r="D10">
            <v>20.5708067074101</v>
          </cell>
          <cell r="E10">
            <v>5.20839554343426</v>
          </cell>
          <cell r="F10">
            <v>97.2251612903226</v>
          </cell>
        </row>
        <row r="11">
          <cell r="A11">
            <v>42948</v>
          </cell>
          <cell r="B11">
            <v>60.0097515846325</v>
          </cell>
          <cell r="C11">
            <v>16.5026816857739</v>
          </cell>
          <cell r="D11">
            <v>17.5966094490355</v>
          </cell>
          <cell r="E11">
            <v>5.89095728055809</v>
          </cell>
          <cell r="F11">
            <v>103.209032258065</v>
          </cell>
        </row>
        <row r="12">
          <cell r="A12">
            <v>42979</v>
          </cell>
          <cell r="B12">
            <v>52.8274280569214</v>
          </cell>
          <cell r="C12">
            <v>20.5752632578555</v>
          </cell>
          <cell r="D12">
            <v>22.0172902554146</v>
          </cell>
          <cell r="E12">
            <v>4.58001842980846</v>
          </cell>
          <cell r="F12">
            <v>94.774</v>
          </cell>
        </row>
        <row r="13">
          <cell r="A13">
            <v>43009</v>
          </cell>
          <cell r="B13">
            <v>53.1972122269907</v>
          </cell>
          <cell r="C13">
            <v>17.4235813080537</v>
          </cell>
          <cell r="D13">
            <v>26.2399732220774</v>
          </cell>
          <cell r="E13">
            <v>3.13923324287815</v>
          </cell>
          <cell r="F13">
            <v>107.936774193548</v>
          </cell>
        </row>
        <row r="14">
          <cell r="A14">
            <v>43040</v>
          </cell>
          <cell r="B14">
            <v>51.6157853749238</v>
          </cell>
          <cell r="C14">
            <v>18.2013558953679</v>
          </cell>
          <cell r="D14">
            <v>26.2304780648005</v>
          </cell>
          <cell r="E14">
            <v>3.95238066490791</v>
          </cell>
          <cell r="F14">
            <v>110.431333333333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BGA 13_Diagramme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Sep 16"/>
      <sheetName val="Okt 16"/>
      <sheetName val="Nov 16"/>
      <sheetName val="Dez 16"/>
      <sheetName val="Jan 17"/>
      <sheetName val="Feb 17"/>
      <sheetName val="Mrz 17"/>
      <sheetName val="Apr 17"/>
      <sheetName val="Mai 17"/>
      <sheetName val="Jun 17"/>
      <sheetName val="Jul 17"/>
      <sheetName val="Aug 17"/>
      <sheetName val="Sep 17"/>
      <sheetName val="Jahresverlauf"/>
      <sheetName val="Trafo Einspeisung"/>
      <sheetName val="Tabellen für Auswertung"/>
      <sheetName val="Auswertung"/>
      <sheetName val="Finales Datenblatt"/>
      <sheetName val="Biogas_Nm"/>
      <sheetName val="Datenblatt"/>
      <sheetName val="Diagramme für Broschüre"/>
      <sheetName val="Tabel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B1" t="str">
            <v>Rindergülle</v>
          </cell>
        </row>
        <row r="1">
          <cell r="D1" t="str">
            <v>Getreideschrot</v>
          </cell>
          <cell r="E1" t="str">
            <v>Kleie</v>
          </cell>
          <cell r="F1" t="str">
            <v>Grassilage</v>
          </cell>
        </row>
        <row r="1">
          <cell r="H1" t="str">
            <v>Fütterungsmenge [t/d]</v>
          </cell>
        </row>
        <row r="1">
          <cell r="J1" t="str">
            <v>Additive</v>
          </cell>
        </row>
        <row r="3">
          <cell r="B3">
            <v>72.4120880165839</v>
          </cell>
          <cell r="C3">
            <v>23.5826629390845</v>
          </cell>
          <cell r="D3">
            <v>3.94629238698389</v>
          </cell>
          <cell r="E3">
            <v>0</v>
          </cell>
          <cell r="F3">
            <v>0</v>
          </cell>
        </row>
        <row r="3">
          <cell r="H3">
            <v>67.8464516129032</v>
          </cell>
        </row>
        <row r="3">
          <cell r="J3">
            <v>0.0589566573477112</v>
          </cell>
        </row>
        <row r="4">
          <cell r="B4">
            <v>72.8382400760399</v>
          </cell>
          <cell r="C4">
            <v>23.2121863978589</v>
          </cell>
          <cell r="D4">
            <v>3.88954200955502</v>
          </cell>
          <cell r="E4">
            <v>0</v>
          </cell>
          <cell r="F4">
            <v>0</v>
          </cell>
        </row>
        <row r="4">
          <cell r="H4">
            <v>66.6316666666667</v>
          </cell>
        </row>
        <row r="4">
          <cell r="J4">
            <v>0.0600315165461867</v>
          </cell>
        </row>
        <row r="5">
          <cell r="B5">
            <v>70.6246425361549</v>
          </cell>
          <cell r="C5">
            <v>25.2778004738949</v>
          </cell>
          <cell r="D5">
            <v>4.03423482310646</v>
          </cell>
          <cell r="E5">
            <v>0</v>
          </cell>
          <cell r="F5">
            <v>0</v>
          </cell>
        </row>
        <row r="5">
          <cell r="H5">
            <v>63.1690322580645</v>
          </cell>
        </row>
        <row r="5">
          <cell r="J5">
            <v>0.0633221668436964</v>
          </cell>
        </row>
        <row r="6">
          <cell r="B6">
            <v>71.4036350941502</v>
          </cell>
          <cell r="C6">
            <v>23.9466736488403</v>
          </cell>
          <cell r="D6">
            <v>4.58205144989199</v>
          </cell>
          <cell r="E6">
            <v>0</v>
          </cell>
          <cell r="F6">
            <v>0</v>
          </cell>
        </row>
        <row r="6">
          <cell r="H6">
            <v>59.1367741935484</v>
          </cell>
        </row>
        <row r="6">
          <cell r="J6">
            <v>0.0676398071174533</v>
          </cell>
        </row>
        <row r="7">
          <cell r="B7">
            <v>73.7701138826133</v>
          </cell>
          <cell r="C7">
            <v>22.8226289824335</v>
          </cell>
          <cell r="D7">
            <v>3.34270828530592</v>
          </cell>
          <cell r="E7">
            <v>0</v>
          </cell>
          <cell r="F7">
            <v>0</v>
          </cell>
        </row>
        <row r="7">
          <cell r="H7">
            <v>61.9685714285714</v>
          </cell>
        </row>
        <row r="7">
          <cell r="J7">
            <v>0.0645488496472867</v>
          </cell>
        </row>
        <row r="8">
          <cell r="B8">
            <v>71.0773887839188</v>
          </cell>
          <cell r="C8">
            <v>24.5333227813665</v>
          </cell>
          <cell r="D8">
            <v>4.32795512776124</v>
          </cell>
          <cell r="E8">
            <v>0</v>
          </cell>
          <cell r="F8">
            <v>0</v>
          </cell>
        </row>
        <row r="8">
          <cell r="H8">
            <v>65.2174193548387</v>
          </cell>
        </row>
        <row r="8">
          <cell r="J8">
            <v>0.0613333069534164</v>
          </cell>
        </row>
        <row r="9">
          <cell r="B9">
            <v>70.3563468406778</v>
          </cell>
          <cell r="C9">
            <v>24.973817771691</v>
          </cell>
          <cell r="D9">
            <v>4.06831547571095</v>
          </cell>
          <cell r="E9">
            <v>0</v>
          </cell>
          <cell r="F9">
            <v>0.537071349928838</v>
          </cell>
        </row>
        <row r="9">
          <cell r="H9">
            <v>62.065</v>
          </cell>
        </row>
        <row r="9">
          <cell r="J9">
            <v>0.0644485619914606</v>
          </cell>
        </row>
        <row r="10">
          <cell r="B10">
            <v>73.8263821044044</v>
          </cell>
          <cell r="C10">
            <v>20.0932649793024</v>
          </cell>
          <cell r="D10">
            <v>5.06108553989948</v>
          </cell>
          <cell r="E10">
            <v>0</v>
          </cell>
          <cell r="F10">
            <v>0.956822141871544</v>
          </cell>
        </row>
        <row r="10">
          <cell r="H10">
            <v>64.0561290322581</v>
          </cell>
        </row>
        <row r="10">
          <cell r="J10">
            <v>0.0624452345221429</v>
          </cell>
        </row>
        <row r="11">
          <cell r="B11">
            <v>74.7113552292344</v>
          </cell>
          <cell r="C11">
            <v>16.8703060195045</v>
          </cell>
          <cell r="D11">
            <v>8.35108171729627</v>
          </cell>
          <cell r="E11">
            <v>0</v>
          </cell>
          <cell r="F11">
            <v>0</v>
          </cell>
        </row>
        <row r="11">
          <cell r="H11">
            <v>59.4733333333333</v>
          </cell>
        </row>
        <row r="11">
          <cell r="J11">
            <v>0.0672570339648021</v>
          </cell>
        </row>
        <row r="12">
          <cell r="B12">
            <v>74.8108602503306</v>
          </cell>
          <cell r="C12">
            <v>17.1493334128665</v>
          </cell>
          <cell r="D12">
            <v>3.98908407647111</v>
          </cell>
          <cell r="E12">
            <v>3.98908407647111</v>
          </cell>
          <cell r="F12">
            <v>0</v>
          </cell>
        </row>
        <row r="12">
          <cell r="H12">
            <v>64.8948387096774</v>
          </cell>
        </row>
        <row r="12">
          <cell r="J12">
            <v>0.0616381838607375</v>
          </cell>
        </row>
        <row r="13">
          <cell r="B13">
            <v>72.2694835302181</v>
          </cell>
          <cell r="C13">
            <v>22.6283110914002</v>
          </cell>
          <cell r="D13">
            <v>2.51985646897553</v>
          </cell>
          <cell r="E13">
            <v>2.51985646897553</v>
          </cell>
          <cell r="F13">
            <v>0</v>
          </cell>
        </row>
        <row r="13">
          <cell r="H13">
            <v>64.0077419354839</v>
          </cell>
        </row>
        <row r="13">
          <cell r="J13">
            <v>0.0624924404305931</v>
          </cell>
        </row>
        <row r="14">
          <cell r="B14">
            <v>73.4594005159712</v>
          </cell>
          <cell r="C14">
            <v>22.1814409957712</v>
          </cell>
          <cell r="D14">
            <v>2.14766350168887</v>
          </cell>
          <cell r="E14">
            <v>2.14766350168887</v>
          </cell>
          <cell r="F14">
            <v>0</v>
          </cell>
        </row>
        <row r="14">
          <cell r="H14">
            <v>62.665</v>
          </cell>
        </row>
        <row r="14">
          <cell r="J14">
            <v>0.063831484879917</v>
          </cell>
        </row>
      </sheetData>
      <sheetData sheetId="2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Okt16"/>
      <sheetName val="Nov16"/>
      <sheetName val="Dez16"/>
      <sheetName val="Jan17"/>
      <sheetName val="Feb17"/>
      <sheetName val="Mrz17"/>
      <sheetName val="Apr17"/>
      <sheetName val="Mai17"/>
      <sheetName val="Jun17"/>
      <sheetName val="Jul17"/>
      <sheetName val="Aug17"/>
      <sheetName val="Sep17"/>
      <sheetName val="EEG Strom '16'17"/>
      <sheetName val="Wärme"/>
      <sheetName val="Jahresverlauf"/>
      <sheetName val="Tabellen für Auswertung"/>
      <sheetName val="Auswertung"/>
      <sheetName val="Finales Datenblatt"/>
      <sheetName val="Biogas_Nm"/>
      <sheetName val="Datenblatt"/>
      <sheetName val="Diagramme für Broschü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">
          <cell r="M2" t="str">
            <v>Getreideschrot</v>
          </cell>
          <cell r="N2" t="str">
            <v>Kartoffeln</v>
          </cell>
          <cell r="O2" t="str">
            <v>Zuckerrüben</v>
          </cell>
        </row>
        <row r="2">
          <cell r="S2" t="str">
            <v>Rindermist</v>
          </cell>
        </row>
        <row r="2">
          <cell r="V2" t="str">
            <v>Rezirkulat</v>
          </cell>
          <cell r="W2" t="str">
            <v>Additive</v>
          </cell>
        </row>
        <row r="3">
          <cell r="S3" t="str">
            <v>[%]</v>
          </cell>
        </row>
        <row r="16">
          <cell r="L16">
            <v>13.543775479076</v>
          </cell>
          <cell r="M16">
            <v>1.5623700047145</v>
          </cell>
          <cell r="N16">
            <v>1.54781053273801</v>
          </cell>
          <cell r="O16">
            <v>1.27915360936243</v>
          </cell>
        </row>
        <row r="16">
          <cell r="Q16">
            <v>4.80809229318617</v>
          </cell>
          <cell r="R16">
            <v>1.74193682575779</v>
          </cell>
          <cell r="S16">
            <v>4.79942594081921</v>
          </cell>
          <cell r="T16">
            <v>70.7174353143459</v>
          </cell>
          <cell r="U16">
            <v>77.5462365591398</v>
          </cell>
          <cell r="V16">
            <v>0</v>
          </cell>
          <cell r="W16">
            <v>0</v>
          </cell>
        </row>
      </sheetData>
      <sheetData sheetId="17"/>
      <sheetData sheetId="18"/>
      <sheetData sheetId="19"/>
      <sheetData sheetId="20">
        <row r="1">
          <cell r="B1" t="str">
            <v>Rindermist</v>
          </cell>
          <cell r="C1" t="str">
            <v>Rindergülle</v>
          </cell>
        </row>
        <row r="1">
          <cell r="E1" t="str">
            <v>Getreideschrot</v>
          </cell>
          <cell r="F1" t="str">
            <v>Zuckerrüben</v>
          </cell>
          <cell r="G1" t="str">
            <v>Grassilage</v>
          </cell>
          <cell r="H1" t="str">
            <v>Kartoffeln</v>
          </cell>
          <cell r="I1" t="str">
            <v>Fütterungsmenge [t/d]</v>
          </cell>
        </row>
        <row r="1">
          <cell r="K1" t="str">
            <v>Additive</v>
          </cell>
        </row>
        <row r="3">
          <cell r="B3">
            <v>5.21479439467034</v>
          </cell>
          <cell r="C3">
            <v>68.320698368941</v>
          </cell>
          <cell r="D3">
            <v>14.2889960946474</v>
          </cell>
          <cell r="E3">
            <v>1.60808637721112</v>
          </cell>
          <cell r="F3">
            <v>3.81346198024351</v>
          </cell>
          <cell r="G3">
            <v>6.7539627842867</v>
          </cell>
          <cell r="H3">
            <v>0</v>
          </cell>
          <cell r="I3">
            <v>70.2096774193548</v>
          </cell>
        </row>
        <row r="3">
          <cell r="K3">
            <v>0</v>
          </cell>
        </row>
        <row r="4">
          <cell r="B4">
            <v>5.02734539335297</v>
          </cell>
          <cell r="C4">
            <v>70.3828355069415</v>
          </cell>
          <cell r="D4">
            <v>12.620950778292</v>
          </cell>
          <cell r="E4">
            <v>1.2620950778292</v>
          </cell>
          <cell r="F4">
            <v>5.04838031131679</v>
          </cell>
          <cell r="G4">
            <v>5.65839293226756</v>
          </cell>
          <cell r="H4">
            <v>0</v>
          </cell>
          <cell r="I4">
            <v>76.6774193548387</v>
          </cell>
        </row>
        <row r="4">
          <cell r="K4">
            <v>0</v>
          </cell>
        </row>
        <row r="5">
          <cell r="B5">
            <v>5.62195661797255</v>
          </cell>
          <cell r="C5">
            <v>67.286409915892</v>
          </cell>
          <cell r="D5">
            <v>13.7228862328464</v>
          </cell>
          <cell r="E5">
            <v>1.63789287295263</v>
          </cell>
          <cell r="F5">
            <v>5.48915449313856</v>
          </cell>
          <cell r="G5">
            <v>6.24169986719787</v>
          </cell>
          <cell r="H5">
            <v>0</v>
          </cell>
          <cell r="I5">
            <v>72.8709677419355</v>
          </cell>
        </row>
        <row r="5">
          <cell r="K5">
            <v>0</v>
          </cell>
        </row>
        <row r="6">
          <cell r="B6">
            <v>4.76080425236885</v>
          </cell>
          <cell r="C6">
            <v>69.1934365611278</v>
          </cell>
          <cell r="D6">
            <v>16.1081580771897</v>
          </cell>
          <cell r="E6">
            <v>2.03374162237116</v>
          </cell>
          <cell r="F6">
            <v>1.38664201525306</v>
          </cell>
          <cell r="G6">
            <v>6.51721747168939</v>
          </cell>
          <cell r="H6">
            <v>0</v>
          </cell>
          <cell r="I6">
            <v>69.7903225806452</v>
          </cell>
        </row>
        <row r="6">
          <cell r="K6">
            <v>0</v>
          </cell>
        </row>
        <row r="7">
          <cell r="B7">
            <v>3.84990253411306</v>
          </cell>
          <cell r="C7">
            <v>70.8089668615984</v>
          </cell>
          <cell r="D7">
            <v>17.8849902534113</v>
          </cell>
          <cell r="E7">
            <v>1.87621832358674</v>
          </cell>
          <cell r="F7">
            <v>0</v>
          </cell>
          <cell r="G7">
            <v>5.57992202729045</v>
          </cell>
          <cell r="H7">
            <v>0</v>
          </cell>
          <cell r="I7">
            <v>66.1935483870968</v>
          </cell>
        </row>
        <row r="7">
          <cell r="K7">
            <v>0</v>
          </cell>
        </row>
        <row r="8">
          <cell r="B8">
            <v>5.08669497523001</v>
          </cell>
          <cell r="C8">
            <v>69.6656050955414</v>
          </cell>
          <cell r="D8">
            <v>17.4274593064402</v>
          </cell>
          <cell r="E8">
            <v>2.24699221514508</v>
          </cell>
          <cell r="F8">
            <v>0</v>
          </cell>
          <cell r="G8">
            <v>5.57324840764331</v>
          </cell>
          <cell r="H8">
            <v>0</v>
          </cell>
          <cell r="I8">
            <v>72.9290322580645</v>
          </cell>
        </row>
        <row r="8">
          <cell r="K8">
            <v>0</v>
          </cell>
        </row>
        <row r="9">
          <cell r="B9">
            <v>3.6620191500084</v>
          </cell>
          <cell r="C9">
            <v>77.9774903410045</v>
          </cell>
          <cell r="D9">
            <v>11.5236015454393</v>
          </cell>
          <cell r="E9">
            <v>1.3270619855535</v>
          </cell>
          <cell r="F9">
            <v>0</v>
          </cell>
          <cell r="G9">
            <v>4.21636149840417</v>
          </cell>
          <cell r="H9">
            <v>1.29346547959012</v>
          </cell>
          <cell r="I9">
            <v>96.0161290322581</v>
          </cell>
        </row>
        <row r="9">
          <cell r="K9">
            <v>0</v>
          </cell>
        </row>
        <row r="10">
          <cell r="B10">
            <v>5.07528336998816</v>
          </cell>
          <cell r="C10">
            <v>70.7156149551683</v>
          </cell>
          <cell r="D10">
            <v>11.2502114701404</v>
          </cell>
          <cell r="E10">
            <v>1.05312129927254</v>
          </cell>
          <cell r="F10">
            <v>0</v>
          </cell>
          <cell r="G10">
            <v>6.28066317036035</v>
          </cell>
          <cell r="H10">
            <v>5.62510573507021</v>
          </cell>
          <cell r="I10">
            <v>76.2709677419355</v>
          </cell>
        </row>
        <row r="10">
          <cell r="K10">
            <v>0</v>
          </cell>
        </row>
        <row r="11">
          <cell r="B11">
            <v>4.45847684653655</v>
          </cell>
          <cell r="C11">
            <v>71.5269804822044</v>
          </cell>
          <cell r="D11">
            <v>9.68235744355147</v>
          </cell>
          <cell r="E11">
            <v>1.09070034443169</v>
          </cell>
          <cell r="F11">
            <v>0</v>
          </cell>
          <cell r="G11">
            <v>6.62074244163796</v>
          </cell>
          <cell r="H11">
            <v>6.62074244163796</v>
          </cell>
          <cell r="I11">
            <v>84.2903225806452</v>
          </cell>
        </row>
        <row r="11">
          <cell r="K11">
            <v>0</v>
          </cell>
        </row>
        <row r="12">
          <cell r="B12">
            <v>4.82578721818521</v>
          </cell>
          <cell r="C12">
            <v>71.8837339295696</v>
          </cell>
          <cell r="D12">
            <v>10.7136202720328</v>
          </cell>
          <cell r="E12">
            <v>1.30426681572573</v>
          </cell>
          <cell r="F12">
            <v>0</v>
          </cell>
          <cell r="G12">
            <v>7.47158561580026</v>
          </cell>
          <cell r="H12">
            <v>3.80100614868642</v>
          </cell>
          <cell r="I12">
            <v>86.5645161290323</v>
          </cell>
        </row>
        <row r="12">
          <cell r="K12">
            <v>0</v>
          </cell>
        </row>
        <row r="13">
          <cell r="B13">
            <v>4.6927374301676</v>
          </cell>
          <cell r="C13">
            <v>71.5083798882682</v>
          </cell>
          <cell r="D13">
            <v>13.6685288640596</v>
          </cell>
          <cell r="E13">
            <v>1.65735567970205</v>
          </cell>
          <cell r="F13">
            <v>0</v>
          </cell>
          <cell r="G13">
            <v>8.47299813780261</v>
          </cell>
          <cell r="H13">
            <v>0</v>
          </cell>
          <cell r="I13">
            <v>86.6129032258064</v>
          </cell>
        </row>
        <row r="13">
          <cell r="K13">
            <v>0</v>
          </cell>
        </row>
        <row r="14">
          <cell r="B14">
            <v>5.65742397137746</v>
          </cell>
          <cell r="C14">
            <v>66.3685152057245</v>
          </cell>
          <cell r="D14">
            <v>16.1001788908766</v>
          </cell>
          <cell r="E14">
            <v>1.92307692307692</v>
          </cell>
          <cell r="F14">
            <v>0.536672629695885</v>
          </cell>
          <cell r="G14">
            <v>9.41413237924866</v>
          </cell>
          <cell r="H14">
            <v>0</v>
          </cell>
          <cell r="I14">
            <v>72.1290322580645</v>
          </cell>
        </row>
        <row r="14">
          <cell r="K14">
            <v>0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BGA 14_Diagramme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ESTB 2016"/>
      <sheetName val="ESTB 2017"/>
      <sheetName val="ENVIA 2016"/>
      <sheetName val="Envia 2017"/>
      <sheetName val="BTB 16-17"/>
      <sheetName val="Wärme 15-17"/>
      <sheetName val="Tabellen für Auwertung"/>
      <sheetName val="Jahr fortlaufend"/>
      <sheetName val="Auswertung"/>
      <sheetName val="Finales Datenblatt"/>
      <sheetName val="Biogas_Nm"/>
      <sheetName val="Datenblatt"/>
      <sheetName val="Diagramme für Broschüre"/>
      <sheetName val="2018-06-25 Diagramme BGA 15_TS-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6">
          <cell r="K16">
            <v>6761.53</v>
          </cell>
        </row>
        <row r="16">
          <cell r="Q16">
            <v>0.0321080290954651</v>
          </cell>
          <cell r="R16">
            <v>68.7420332355816</v>
          </cell>
        </row>
        <row r="21">
          <cell r="J21">
            <v>18.1812333333333</v>
          </cell>
        </row>
        <row r="22">
          <cell r="J22">
            <v>17.5637741935484</v>
          </cell>
        </row>
        <row r="23">
          <cell r="J23">
            <v>23.5040967741935</v>
          </cell>
        </row>
        <row r="24">
          <cell r="J24">
            <v>23.0205</v>
          </cell>
        </row>
        <row r="25">
          <cell r="J25">
            <v>19.1276129032258</v>
          </cell>
        </row>
        <row r="26">
          <cell r="J26">
            <v>18.4532</v>
          </cell>
        </row>
        <row r="27">
          <cell r="J27">
            <v>19.1020322580645</v>
          </cell>
        </row>
        <row r="28">
          <cell r="J28">
            <v>15.734</v>
          </cell>
        </row>
        <row r="29">
          <cell r="J29">
            <v>2.70341935483871</v>
          </cell>
        </row>
        <row r="30">
          <cell r="J30">
            <v>21.7616129032258</v>
          </cell>
        </row>
        <row r="31">
          <cell r="J31">
            <v>21.2407333333333</v>
          </cell>
        </row>
        <row r="32">
          <cell r="J32">
            <v>22.323935483871</v>
          </cell>
        </row>
        <row r="38">
          <cell r="A38">
            <v>42675</v>
          </cell>
          <cell r="B38">
            <v>0.50759666102593</v>
          </cell>
          <cell r="C38">
            <v>0.445147652249481</v>
          </cell>
          <cell r="D38">
            <v>0.011092023460088</v>
          </cell>
          <cell r="E38">
            <v>0.00140254511520121</v>
          </cell>
          <cell r="F38">
            <v>0.0347611181493005</v>
          </cell>
          <cell r="G38">
            <v>0</v>
          </cell>
          <cell r="H38">
            <v>0</v>
          </cell>
          <cell r="I38">
            <v>0</v>
          </cell>
        </row>
        <row r="39">
          <cell r="A39">
            <v>42705</v>
          </cell>
          <cell r="B39">
            <v>0.428690284438094</v>
          </cell>
          <cell r="C39">
            <v>0.504153527146234</v>
          </cell>
          <cell r="D39">
            <v>0</v>
          </cell>
          <cell r="E39">
            <v>0.00925658935088167</v>
          </cell>
          <cell r="F39">
            <v>0.0578995990647906</v>
          </cell>
          <cell r="G39">
            <v>0</v>
          </cell>
          <cell r="H39">
            <v>0</v>
          </cell>
          <cell r="I39">
            <v>0</v>
          </cell>
        </row>
        <row r="40">
          <cell r="A40">
            <v>42736</v>
          </cell>
          <cell r="B40">
            <v>0.36453768526283</v>
          </cell>
          <cell r="C40">
            <v>0.590013820514474</v>
          </cell>
          <cell r="D40">
            <v>0</v>
          </cell>
          <cell r="E40">
            <v>0.00215473760922941</v>
          </cell>
          <cell r="F40">
            <v>0.0432937566134662</v>
          </cell>
          <cell r="G40">
            <v>0</v>
          </cell>
          <cell r="H40">
            <v>0</v>
          </cell>
          <cell r="I40">
            <v>0</v>
          </cell>
        </row>
        <row r="41">
          <cell r="A41">
            <v>42767</v>
          </cell>
          <cell r="B41">
            <v>0.335553404263901</v>
          </cell>
          <cell r="C41">
            <v>0.61280783897582</v>
          </cell>
          <cell r="D41">
            <v>0.00241244604963899</v>
          </cell>
          <cell r="E41">
            <v>0.00481713503802511</v>
          </cell>
          <cell r="F41">
            <v>0.0444091756726148</v>
          </cell>
          <cell r="G41">
            <v>0</v>
          </cell>
          <cell r="H41">
            <v>0</v>
          </cell>
          <cell r="I41">
            <v>0</v>
          </cell>
        </row>
        <row r="42">
          <cell r="A42">
            <v>42795</v>
          </cell>
          <cell r="B42">
            <v>0.375324644661661</v>
          </cell>
          <cell r="C42">
            <v>0.428699599970318</v>
          </cell>
          <cell r="D42">
            <v>0.13547379569479</v>
          </cell>
          <cell r="E42">
            <v>0.00677959241495153</v>
          </cell>
          <cell r="F42">
            <v>0.0537223672582789</v>
          </cell>
          <cell r="G42">
            <v>0</v>
          </cell>
          <cell r="H42">
            <v>0</v>
          </cell>
          <cell r="I42">
            <v>0</v>
          </cell>
        </row>
        <row r="43">
          <cell r="A43">
            <v>42826</v>
          </cell>
          <cell r="B43">
            <v>0.322529425790649</v>
          </cell>
          <cell r="C43">
            <v>0.447257566889934</v>
          </cell>
          <cell r="D43">
            <v>0.163034053714261</v>
          </cell>
          <cell r="E43">
            <v>0.0123736443182393</v>
          </cell>
          <cell r="F43">
            <v>0.0548053092869168</v>
          </cell>
          <cell r="G43">
            <v>0</v>
          </cell>
          <cell r="H43">
            <v>0</v>
          </cell>
          <cell r="I43">
            <v>0</v>
          </cell>
        </row>
        <row r="44">
          <cell r="A44">
            <v>42856</v>
          </cell>
          <cell r="B44">
            <v>0.338129873024826</v>
          </cell>
          <cell r="C44">
            <v>0.441770255824832</v>
          </cell>
          <cell r="D44">
            <v>0.157642405891621</v>
          </cell>
          <cell r="E44">
            <v>0.017275648765627</v>
          </cell>
          <cell r="F44">
            <v>0.045181816493094</v>
          </cell>
          <cell r="G44">
            <v>0</v>
          </cell>
          <cell r="H44">
            <v>0</v>
          </cell>
          <cell r="I44">
            <v>0</v>
          </cell>
        </row>
        <row r="45">
          <cell r="A45">
            <v>42887</v>
          </cell>
          <cell r="B45">
            <v>0.25418414473963</v>
          </cell>
          <cell r="C45">
            <v>0</v>
          </cell>
          <cell r="D45">
            <v>0.102675734079064</v>
          </cell>
          <cell r="E45">
            <v>0.0168954705309097</v>
          </cell>
          <cell r="F45">
            <v>0</v>
          </cell>
          <cell r="G45">
            <v>0.626244650650396</v>
          </cell>
          <cell r="H45">
            <v>0</v>
          </cell>
          <cell r="I45">
            <v>0</v>
          </cell>
        </row>
        <row r="46">
          <cell r="A46">
            <v>42917</v>
          </cell>
          <cell r="B46">
            <v>0.354461494403742</v>
          </cell>
          <cell r="C46">
            <v>0</v>
          </cell>
          <cell r="D46">
            <v>0.153926926473045</v>
          </cell>
          <cell r="E46">
            <v>0</v>
          </cell>
          <cell r="F46">
            <v>0</v>
          </cell>
          <cell r="G46">
            <v>0.491611579123213</v>
          </cell>
          <cell r="H46">
            <v>0</v>
          </cell>
          <cell r="I46">
            <v>0</v>
          </cell>
        </row>
        <row r="47">
          <cell r="A47">
            <v>42948</v>
          </cell>
          <cell r="B47">
            <v>0.41635908154341</v>
          </cell>
          <cell r="C47">
            <v>0</v>
          </cell>
          <cell r="D47">
            <v>0.112998621425713</v>
          </cell>
          <cell r="E47">
            <v>0</v>
          </cell>
          <cell r="F47">
            <v>0</v>
          </cell>
          <cell r="G47">
            <v>0.470642297030877</v>
          </cell>
          <cell r="H47">
            <v>0</v>
          </cell>
          <cell r="I47">
            <v>0</v>
          </cell>
        </row>
        <row r="48">
          <cell r="A48">
            <v>42979</v>
          </cell>
          <cell r="B48">
            <v>0.426198404951493</v>
          </cell>
          <cell r="C48">
            <v>0</v>
          </cell>
          <cell r="D48">
            <v>0.101438745052745</v>
          </cell>
          <cell r="E48">
            <v>0</v>
          </cell>
          <cell r="F48">
            <v>0</v>
          </cell>
          <cell r="G48">
            <v>0.472362849995763</v>
          </cell>
          <cell r="H48">
            <v>0</v>
          </cell>
          <cell r="I48">
            <v>0</v>
          </cell>
        </row>
        <row r="49">
          <cell r="A49">
            <v>43009</v>
          </cell>
          <cell r="B49">
            <v>0.427592544961144</v>
          </cell>
          <cell r="C49">
            <v>0</v>
          </cell>
          <cell r="D49">
            <v>0.111337173177351</v>
          </cell>
          <cell r="E49">
            <v>0.00184959872377688</v>
          </cell>
          <cell r="F49">
            <v>0</v>
          </cell>
          <cell r="G49">
            <v>0.459220683137729</v>
          </cell>
          <cell r="H49">
            <v>0</v>
          </cell>
          <cell r="I49">
            <v>0</v>
          </cell>
        </row>
        <row r="50">
          <cell r="G50">
            <v>0.188285787388357</v>
          </cell>
          <cell r="H50">
            <v>0</v>
          </cell>
        </row>
        <row r="50">
          <cell r="P50">
            <v>1470139</v>
          </cell>
        </row>
        <row r="67">
          <cell r="P67">
            <v>2024931.44</v>
          </cell>
        </row>
        <row r="84">
          <cell r="J84">
            <v>23.3515252988997</v>
          </cell>
        </row>
        <row r="89">
          <cell r="O89">
            <v>47</v>
          </cell>
          <cell r="P89">
            <v>34</v>
          </cell>
        </row>
        <row r="90">
          <cell r="O90">
            <v>47</v>
          </cell>
          <cell r="P90">
            <v>34</v>
          </cell>
        </row>
        <row r="91">
          <cell r="O91">
            <v>47</v>
          </cell>
          <cell r="P91">
            <v>34</v>
          </cell>
        </row>
        <row r="92">
          <cell r="O92">
            <v>47</v>
          </cell>
          <cell r="P92">
            <v>34</v>
          </cell>
        </row>
        <row r="93">
          <cell r="O93">
            <v>47</v>
          </cell>
          <cell r="P93">
            <v>34</v>
          </cell>
        </row>
        <row r="94">
          <cell r="O94">
            <v>47</v>
          </cell>
          <cell r="P94">
            <v>34</v>
          </cell>
        </row>
        <row r="95">
          <cell r="O95">
            <v>47</v>
          </cell>
          <cell r="P95">
            <v>34</v>
          </cell>
        </row>
        <row r="96">
          <cell r="O96">
            <v>47</v>
          </cell>
          <cell r="P96">
            <v>34</v>
          </cell>
        </row>
        <row r="97">
          <cell r="O97">
            <v>47</v>
          </cell>
          <cell r="P97">
            <v>34</v>
          </cell>
        </row>
        <row r="98">
          <cell r="O98">
            <v>47</v>
          </cell>
          <cell r="P98">
            <v>34</v>
          </cell>
        </row>
        <row r="99">
          <cell r="O99">
            <v>47</v>
          </cell>
          <cell r="P99">
            <v>34</v>
          </cell>
        </row>
        <row r="100">
          <cell r="O100">
            <v>47</v>
          </cell>
          <cell r="P100">
            <v>34</v>
          </cell>
        </row>
        <row r="101">
          <cell r="J101">
            <v>92.7773323352851</v>
          </cell>
        </row>
        <row r="118">
          <cell r="J118">
            <v>71.070215183247</v>
          </cell>
        </row>
        <row r="118">
          <cell r="O118">
            <v>781888.000000001</v>
          </cell>
        </row>
        <row r="123">
          <cell r="O123">
            <v>87919</v>
          </cell>
        </row>
        <row r="124">
          <cell r="O124">
            <v>66266.0000000001</v>
          </cell>
        </row>
        <row r="125">
          <cell r="O125">
            <v>80563.5</v>
          </cell>
        </row>
        <row r="126">
          <cell r="O126">
            <v>80563.5</v>
          </cell>
        </row>
        <row r="127">
          <cell r="O127">
            <v>91453</v>
          </cell>
        </row>
        <row r="128">
          <cell r="O128">
            <v>74712</v>
          </cell>
        </row>
        <row r="129">
          <cell r="O129">
            <v>69115</v>
          </cell>
        </row>
        <row r="130">
          <cell r="O130">
            <v>36320</v>
          </cell>
        </row>
        <row r="131">
          <cell r="O131">
            <v>1833.00000000001</v>
          </cell>
        </row>
        <row r="132">
          <cell r="O132">
            <v>49144</v>
          </cell>
        </row>
        <row r="135">
          <cell r="O135">
            <v>637889</v>
          </cell>
        </row>
      </sheetData>
      <sheetData sheetId="7">
        <row r="6">
          <cell r="R6">
            <v>39</v>
          </cell>
          <cell r="S6">
            <v>39.1</v>
          </cell>
        </row>
        <row r="7">
          <cell r="R7">
            <v>39.2</v>
          </cell>
          <cell r="S7">
            <v>39.1</v>
          </cell>
        </row>
        <row r="8">
          <cell r="R8">
            <v>39.1</v>
          </cell>
          <cell r="S8">
            <v>39</v>
          </cell>
        </row>
        <row r="9">
          <cell r="R9">
            <v>39.1</v>
          </cell>
          <cell r="S9">
            <v>39</v>
          </cell>
        </row>
        <row r="10">
          <cell r="R10">
            <v>39</v>
          </cell>
          <cell r="S10">
            <v>38.9</v>
          </cell>
        </row>
        <row r="11">
          <cell r="R11">
            <v>39</v>
          </cell>
          <cell r="S11">
            <v>39</v>
          </cell>
        </row>
        <row r="15">
          <cell r="R15">
            <v>38.9</v>
          </cell>
          <cell r="S15">
            <v>39</v>
          </cell>
        </row>
        <row r="16">
          <cell r="R16">
            <v>39</v>
          </cell>
          <cell r="S16">
            <v>39</v>
          </cell>
        </row>
        <row r="17">
          <cell r="R17">
            <v>39</v>
          </cell>
          <cell r="S17">
            <v>39</v>
          </cell>
        </row>
        <row r="18">
          <cell r="R18">
            <v>38.9</v>
          </cell>
          <cell r="S18">
            <v>38.9</v>
          </cell>
        </row>
        <row r="19">
          <cell r="R19">
            <v>38.8</v>
          </cell>
          <cell r="S19">
            <v>38.9</v>
          </cell>
        </row>
        <row r="20">
          <cell r="R20">
            <v>38.9</v>
          </cell>
          <cell r="S20">
            <v>38.9</v>
          </cell>
        </row>
        <row r="21">
          <cell r="R21">
            <v>39</v>
          </cell>
          <cell r="S21">
            <v>38.9</v>
          </cell>
        </row>
        <row r="22">
          <cell r="R22">
            <v>39</v>
          </cell>
          <cell r="S22">
            <v>38.9</v>
          </cell>
        </row>
        <row r="23">
          <cell r="R23">
            <v>39.2</v>
          </cell>
          <cell r="S23">
            <v>39.2</v>
          </cell>
        </row>
        <row r="24">
          <cell r="R24">
            <v>39.5</v>
          </cell>
          <cell r="S24">
            <v>39.4</v>
          </cell>
        </row>
        <row r="25">
          <cell r="R25">
            <v>39.8</v>
          </cell>
          <cell r="S25">
            <v>40.3</v>
          </cell>
        </row>
        <row r="26">
          <cell r="R26">
            <v>39.9</v>
          </cell>
          <cell r="S26">
            <v>39.7</v>
          </cell>
        </row>
        <row r="27">
          <cell r="R27">
            <v>40.1</v>
          </cell>
          <cell r="S27">
            <v>40.1</v>
          </cell>
        </row>
        <row r="28">
          <cell r="R28">
            <v>40.1</v>
          </cell>
          <cell r="S28">
            <v>40.3</v>
          </cell>
        </row>
        <row r="29">
          <cell r="R29">
            <v>40.1</v>
          </cell>
          <cell r="S29">
            <v>40.2</v>
          </cell>
        </row>
        <row r="30">
          <cell r="R30">
            <v>40.1</v>
          </cell>
          <cell r="S30">
            <v>40</v>
          </cell>
        </row>
        <row r="31">
          <cell r="R31">
            <v>40.1</v>
          </cell>
          <cell r="S31">
            <v>40.2</v>
          </cell>
        </row>
        <row r="32">
          <cell r="R32">
            <v>40.1</v>
          </cell>
          <cell r="S32">
            <v>40.1</v>
          </cell>
        </row>
        <row r="33">
          <cell r="R33">
            <v>40</v>
          </cell>
          <cell r="S33">
            <v>40.2</v>
          </cell>
        </row>
        <row r="34">
          <cell r="R34">
            <v>40</v>
          </cell>
          <cell r="S34">
            <v>40</v>
          </cell>
        </row>
        <row r="35">
          <cell r="R35">
            <v>39.9</v>
          </cell>
          <cell r="S35">
            <v>40.1</v>
          </cell>
        </row>
        <row r="36">
          <cell r="R36">
            <v>39.8</v>
          </cell>
          <cell r="S36">
            <v>40</v>
          </cell>
        </row>
        <row r="37">
          <cell r="R37">
            <v>40.2</v>
          </cell>
          <cell r="S37">
            <v>40.2</v>
          </cell>
        </row>
        <row r="38">
          <cell r="R38">
            <v>40.9</v>
          </cell>
          <cell r="S38">
            <v>40</v>
          </cell>
        </row>
        <row r="39">
          <cell r="R39">
            <v>40.1</v>
          </cell>
          <cell r="S39">
            <v>40</v>
          </cell>
        </row>
        <row r="40">
          <cell r="R40">
            <v>40</v>
          </cell>
          <cell r="S40">
            <v>40</v>
          </cell>
        </row>
        <row r="41">
          <cell r="R41">
            <v>40</v>
          </cell>
          <cell r="S41">
            <v>40.1</v>
          </cell>
        </row>
        <row r="42">
          <cell r="R42">
            <v>40</v>
          </cell>
          <cell r="S42">
            <v>40</v>
          </cell>
        </row>
        <row r="53">
          <cell r="R53">
            <v>41.1</v>
          </cell>
          <cell r="S53">
            <v>41</v>
          </cell>
        </row>
        <row r="54">
          <cell r="R54">
            <v>41.1</v>
          </cell>
          <cell r="S54">
            <v>41.1</v>
          </cell>
        </row>
        <row r="55">
          <cell r="R55">
            <v>41.1</v>
          </cell>
          <cell r="S55">
            <v>41.3</v>
          </cell>
        </row>
        <row r="56">
          <cell r="R56">
            <v>41</v>
          </cell>
          <cell r="S56">
            <v>40.8</v>
          </cell>
        </row>
        <row r="57">
          <cell r="R57">
            <v>41</v>
          </cell>
          <cell r="S57">
            <v>41.1</v>
          </cell>
        </row>
        <row r="58">
          <cell r="R58">
            <v>41.1</v>
          </cell>
          <cell r="S58">
            <v>41.1</v>
          </cell>
        </row>
        <row r="59">
          <cell r="R59">
            <v>41</v>
          </cell>
          <cell r="S59">
            <v>41</v>
          </cell>
        </row>
        <row r="60">
          <cell r="R60">
            <v>40.9</v>
          </cell>
          <cell r="S60">
            <v>41</v>
          </cell>
        </row>
        <row r="61">
          <cell r="R61">
            <v>41.1</v>
          </cell>
          <cell r="S61">
            <v>41.1</v>
          </cell>
        </row>
        <row r="62">
          <cell r="R62">
            <v>40.9</v>
          </cell>
          <cell r="S62">
            <v>41.3</v>
          </cell>
        </row>
        <row r="63">
          <cell r="R63">
            <v>41</v>
          </cell>
          <cell r="S63">
            <v>40.9</v>
          </cell>
        </row>
        <row r="64">
          <cell r="R64">
            <v>41.1</v>
          </cell>
          <cell r="S64">
            <v>41.1</v>
          </cell>
        </row>
        <row r="65">
          <cell r="R65">
            <v>41.1</v>
          </cell>
          <cell r="S65">
            <v>41.1</v>
          </cell>
        </row>
        <row r="66">
          <cell r="R66">
            <v>41.1</v>
          </cell>
          <cell r="S66">
            <v>41.8</v>
          </cell>
        </row>
        <row r="67">
          <cell r="R67">
            <v>41</v>
          </cell>
          <cell r="S67">
            <v>41.4</v>
          </cell>
        </row>
        <row r="68">
          <cell r="R68">
            <v>41.1</v>
          </cell>
          <cell r="S68">
            <v>40.7</v>
          </cell>
        </row>
        <row r="69">
          <cell r="R69">
            <v>41</v>
          </cell>
          <cell r="S69">
            <v>41</v>
          </cell>
        </row>
        <row r="70">
          <cell r="R70">
            <v>41.2</v>
          </cell>
          <cell r="S70">
            <v>41.2</v>
          </cell>
        </row>
        <row r="71">
          <cell r="R71">
            <v>41</v>
          </cell>
          <cell r="S71">
            <v>41.1</v>
          </cell>
        </row>
        <row r="72">
          <cell r="R72">
            <v>40.9</v>
          </cell>
          <cell r="S72">
            <v>41.1</v>
          </cell>
        </row>
        <row r="73">
          <cell r="R73">
            <v>41</v>
          </cell>
          <cell r="S73">
            <v>41</v>
          </cell>
        </row>
        <row r="74">
          <cell r="R74">
            <v>41</v>
          </cell>
          <cell r="S74">
            <v>41</v>
          </cell>
        </row>
        <row r="77">
          <cell r="R77">
            <v>40.9</v>
          </cell>
          <cell r="S77">
            <v>41</v>
          </cell>
        </row>
        <row r="78">
          <cell r="R78">
            <v>41</v>
          </cell>
          <cell r="S78">
            <v>41.1</v>
          </cell>
        </row>
        <row r="79">
          <cell r="R79">
            <v>41.1</v>
          </cell>
          <cell r="S79">
            <v>41.3</v>
          </cell>
        </row>
        <row r="80">
          <cell r="R80">
            <v>41</v>
          </cell>
          <cell r="S80">
            <v>41</v>
          </cell>
        </row>
        <row r="81">
          <cell r="R81">
            <v>41.1</v>
          </cell>
          <cell r="S81">
            <v>41</v>
          </cell>
        </row>
        <row r="82">
          <cell r="R82">
            <v>41.1</v>
          </cell>
          <cell r="S82">
            <v>41.1</v>
          </cell>
        </row>
        <row r="83">
          <cell r="R83">
            <v>41.1</v>
          </cell>
          <cell r="S83">
            <v>41</v>
          </cell>
        </row>
        <row r="84">
          <cell r="R84">
            <v>40.8</v>
          </cell>
          <cell r="S84">
            <v>41.1</v>
          </cell>
        </row>
        <row r="85">
          <cell r="R85">
            <v>40.7</v>
          </cell>
          <cell r="S85">
            <v>41.1</v>
          </cell>
        </row>
        <row r="86">
          <cell r="R86">
            <v>40.7</v>
          </cell>
          <cell r="S86">
            <v>41.3</v>
          </cell>
        </row>
        <row r="87">
          <cell r="R87">
            <v>40.7</v>
          </cell>
          <cell r="S87">
            <v>41</v>
          </cell>
        </row>
        <row r="88">
          <cell r="R88">
            <v>40.6</v>
          </cell>
          <cell r="S88">
            <v>41</v>
          </cell>
        </row>
        <row r="89">
          <cell r="R89">
            <v>40.5</v>
          </cell>
          <cell r="S89">
            <v>41</v>
          </cell>
        </row>
        <row r="90">
          <cell r="R90">
            <v>40.5</v>
          </cell>
          <cell r="S90">
            <v>41.1</v>
          </cell>
        </row>
        <row r="91">
          <cell r="R91">
            <v>40.5</v>
          </cell>
          <cell r="S91">
            <v>41.1</v>
          </cell>
        </row>
        <row r="92">
          <cell r="R92">
            <v>40.2</v>
          </cell>
          <cell r="S92">
            <v>41.1</v>
          </cell>
        </row>
        <row r="93">
          <cell r="R93">
            <v>40.4</v>
          </cell>
          <cell r="S93">
            <v>41.2</v>
          </cell>
        </row>
        <row r="94">
          <cell r="R94">
            <v>40.1</v>
          </cell>
          <cell r="S94">
            <v>41.2</v>
          </cell>
        </row>
        <row r="95">
          <cell r="R95">
            <v>39.9</v>
          </cell>
          <cell r="S95">
            <v>41</v>
          </cell>
        </row>
        <row r="96">
          <cell r="R96">
            <v>39.8</v>
          </cell>
          <cell r="S96">
            <v>40.9</v>
          </cell>
        </row>
        <row r="97">
          <cell r="R97">
            <v>39.9</v>
          </cell>
          <cell r="S97">
            <v>41.1</v>
          </cell>
        </row>
        <row r="98">
          <cell r="R98">
            <v>40.2</v>
          </cell>
          <cell r="S98">
            <v>41.5</v>
          </cell>
        </row>
        <row r="99">
          <cell r="R99">
            <v>40.3</v>
          </cell>
          <cell r="S99">
            <v>41.1</v>
          </cell>
        </row>
        <row r="100">
          <cell r="R100">
            <v>40.4</v>
          </cell>
          <cell r="S100">
            <v>41</v>
          </cell>
        </row>
        <row r="101">
          <cell r="R101">
            <v>40.6</v>
          </cell>
          <cell r="S101">
            <v>41.1</v>
          </cell>
        </row>
        <row r="102">
          <cell r="R102">
            <v>40.5</v>
          </cell>
          <cell r="S102">
            <v>41.2</v>
          </cell>
        </row>
        <row r="103">
          <cell r="R103">
            <v>40.7</v>
          </cell>
          <cell r="S103">
            <v>41.1</v>
          </cell>
        </row>
        <row r="104">
          <cell r="R104">
            <v>40.7</v>
          </cell>
          <cell r="S104">
            <v>41.1</v>
          </cell>
        </row>
        <row r="105">
          <cell r="R105">
            <v>40.7</v>
          </cell>
          <cell r="S105">
            <v>41.1</v>
          </cell>
        </row>
        <row r="106">
          <cell r="R106">
            <v>40.7</v>
          </cell>
          <cell r="S106">
            <v>41.2</v>
          </cell>
        </row>
        <row r="107">
          <cell r="R107">
            <v>40.6</v>
          </cell>
          <cell r="S107">
            <v>41.1</v>
          </cell>
        </row>
        <row r="108">
          <cell r="R108">
            <v>40.7</v>
          </cell>
          <cell r="S108">
            <v>41.1</v>
          </cell>
        </row>
        <row r="109">
          <cell r="R109">
            <v>40.7</v>
          </cell>
          <cell r="S109">
            <v>41.1</v>
          </cell>
        </row>
        <row r="110">
          <cell r="R110">
            <v>40.7</v>
          </cell>
          <cell r="S110">
            <v>41.2</v>
          </cell>
        </row>
        <row r="111">
          <cell r="R111">
            <v>40.9</v>
          </cell>
          <cell r="S111">
            <v>41</v>
          </cell>
        </row>
        <row r="112">
          <cell r="R112">
            <v>41</v>
          </cell>
          <cell r="S112">
            <v>41.1</v>
          </cell>
        </row>
        <row r="113">
          <cell r="R113">
            <v>41</v>
          </cell>
          <cell r="S113">
            <v>41</v>
          </cell>
        </row>
        <row r="114">
          <cell r="R114">
            <v>41.1</v>
          </cell>
          <cell r="S114">
            <v>41.1</v>
          </cell>
        </row>
        <row r="115">
          <cell r="R115">
            <v>41.1</v>
          </cell>
          <cell r="S115">
            <v>41.9</v>
          </cell>
        </row>
        <row r="116">
          <cell r="R116">
            <v>41</v>
          </cell>
          <cell r="S116">
            <v>41</v>
          </cell>
        </row>
        <row r="117">
          <cell r="R117">
            <v>41</v>
          </cell>
          <cell r="S117">
            <v>41</v>
          </cell>
        </row>
        <row r="118">
          <cell r="R118">
            <v>41.1</v>
          </cell>
          <cell r="S118">
            <v>41.1</v>
          </cell>
        </row>
        <row r="119">
          <cell r="R119">
            <v>41.2</v>
          </cell>
          <cell r="S119">
            <v>41.1</v>
          </cell>
        </row>
        <row r="120">
          <cell r="R120">
            <v>41</v>
          </cell>
          <cell r="S120">
            <v>41.1</v>
          </cell>
        </row>
        <row r="121">
          <cell r="R121">
            <v>41.1</v>
          </cell>
          <cell r="S121">
            <v>41</v>
          </cell>
        </row>
        <row r="122">
          <cell r="R122">
            <v>41.1</v>
          </cell>
          <cell r="S122">
            <v>41.3</v>
          </cell>
        </row>
        <row r="123">
          <cell r="R123">
            <v>41.1</v>
          </cell>
          <cell r="S123">
            <v>41.1</v>
          </cell>
        </row>
        <row r="124">
          <cell r="R124">
            <v>41.2</v>
          </cell>
          <cell r="S124">
            <v>41.5</v>
          </cell>
        </row>
        <row r="125">
          <cell r="R125">
            <v>41.2</v>
          </cell>
          <cell r="S125">
            <v>41.1</v>
          </cell>
        </row>
        <row r="126">
          <cell r="R126">
            <v>41.1</v>
          </cell>
          <cell r="S126">
            <v>41</v>
          </cell>
        </row>
        <row r="127">
          <cell r="R127">
            <v>41</v>
          </cell>
          <cell r="S127">
            <v>40.8</v>
          </cell>
        </row>
        <row r="128">
          <cell r="R128">
            <v>40.9</v>
          </cell>
          <cell r="S128">
            <v>40.7</v>
          </cell>
        </row>
        <row r="129">
          <cell r="R129">
            <v>40.6</v>
          </cell>
          <cell r="S129">
            <v>40.5</v>
          </cell>
        </row>
        <row r="130">
          <cell r="R130">
            <v>40.6</v>
          </cell>
          <cell r="S130">
            <v>40.3</v>
          </cell>
        </row>
        <row r="131">
          <cell r="R131">
            <v>40.4</v>
          </cell>
          <cell r="S131">
            <v>40.2</v>
          </cell>
        </row>
        <row r="132">
          <cell r="R132">
            <v>40.2</v>
          </cell>
          <cell r="S132">
            <v>40.1</v>
          </cell>
        </row>
        <row r="133">
          <cell r="R133">
            <v>40.1</v>
          </cell>
          <cell r="S133">
            <v>40</v>
          </cell>
        </row>
        <row r="134">
          <cell r="R134">
            <v>40.2</v>
          </cell>
          <cell r="S134">
            <v>40.1</v>
          </cell>
        </row>
        <row r="135">
          <cell r="R135">
            <v>40.2</v>
          </cell>
          <cell r="S135">
            <v>40.1</v>
          </cell>
        </row>
        <row r="136">
          <cell r="R136">
            <v>40.2</v>
          </cell>
          <cell r="S136">
            <v>40.1</v>
          </cell>
        </row>
        <row r="137">
          <cell r="R137">
            <v>40.3</v>
          </cell>
          <cell r="S137">
            <v>40.1</v>
          </cell>
        </row>
        <row r="138">
          <cell r="R138">
            <v>40.3</v>
          </cell>
          <cell r="S138">
            <v>40.1</v>
          </cell>
        </row>
        <row r="139">
          <cell r="R139">
            <v>40.2</v>
          </cell>
          <cell r="S139">
            <v>40</v>
          </cell>
        </row>
        <row r="140">
          <cell r="R140">
            <v>40.1</v>
          </cell>
          <cell r="S140">
            <v>39.8</v>
          </cell>
        </row>
        <row r="141">
          <cell r="R141">
            <v>40.2</v>
          </cell>
          <cell r="S141">
            <v>39.7</v>
          </cell>
        </row>
        <row r="142">
          <cell r="R142">
            <v>40</v>
          </cell>
          <cell r="S142">
            <v>39.5</v>
          </cell>
        </row>
        <row r="143">
          <cell r="R143">
            <v>39.8</v>
          </cell>
          <cell r="S143">
            <v>39.4</v>
          </cell>
        </row>
        <row r="144">
          <cell r="R144">
            <v>39.6</v>
          </cell>
          <cell r="S144">
            <v>39.2</v>
          </cell>
        </row>
        <row r="145">
          <cell r="R145">
            <v>39.6</v>
          </cell>
          <cell r="S145">
            <v>39</v>
          </cell>
        </row>
        <row r="146">
          <cell r="R146">
            <v>39.7</v>
          </cell>
          <cell r="S146">
            <v>39</v>
          </cell>
        </row>
        <row r="147">
          <cell r="R147">
            <v>39.7</v>
          </cell>
          <cell r="S147">
            <v>39.1</v>
          </cell>
        </row>
        <row r="148">
          <cell r="R148">
            <v>39.7</v>
          </cell>
          <cell r="S148">
            <v>39</v>
          </cell>
        </row>
        <row r="149">
          <cell r="R149">
            <v>40</v>
          </cell>
          <cell r="S149">
            <v>38.9</v>
          </cell>
        </row>
        <row r="150">
          <cell r="R150">
            <v>39.8</v>
          </cell>
          <cell r="S150">
            <v>39</v>
          </cell>
        </row>
        <row r="169">
          <cell r="R169">
            <v>40</v>
          </cell>
          <cell r="S169">
            <v>39.1</v>
          </cell>
        </row>
        <row r="170">
          <cell r="R170">
            <v>39.9</v>
          </cell>
          <cell r="S170">
            <v>39</v>
          </cell>
        </row>
        <row r="171">
          <cell r="R171">
            <v>40</v>
          </cell>
          <cell r="S171">
            <v>39.1</v>
          </cell>
        </row>
        <row r="172">
          <cell r="R172">
            <v>40.1</v>
          </cell>
          <cell r="S172">
            <v>39.1</v>
          </cell>
        </row>
        <row r="173">
          <cell r="R173">
            <v>40.1</v>
          </cell>
          <cell r="S173">
            <v>40.3</v>
          </cell>
        </row>
        <row r="174">
          <cell r="R174">
            <v>40.1</v>
          </cell>
          <cell r="S174">
            <v>39</v>
          </cell>
        </row>
        <row r="175">
          <cell r="R175">
            <v>40.1</v>
          </cell>
          <cell r="S175">
            <v>39</v>
          </cell>
        </row>
        <row r="176">
          <cell r="R176">
            <v>40.1</v>
          </cell>
          <cell r="S176">
            <v>39</v>
          </cell>
        </row>
        <row r="177">
          <cell r="R177">
            <v>39.7</v>
          </cell>
          <cell r="S177">
            <v>38.9</v>
          </cell>
        </row>
        <row r="178">
          <cell r="R178">
            <v>39.7</v>
          </cell>
          <cell r="S178">
            <v>39.1</v>
          </cell>
        </row>
        <row r="179">
          <cell r="R179">
            <v>39.6</v>
          </cell>
          <cell r="S179">
            <v>39.1</v>
          </cell>
        </row>
        <row r="180">
          <cell r="R180">
            <v>39.4</v>
          </cell>
          <cell r="S180">
            <v>38.9</v>
          </cell>
        </row>
        <row r="181">
          <cell r="R181">
            <v>39.7</v>
          </cell>
          <cell r="S181">
            <v>39.2</v>
          </cell>
        </row>
        <row r="182">
          <cell r="R182">
            <v>39.7</v>
          </cell>
          <cell r="S182">
            <v>39</v>
          </cell>
        </row>
        <row r="183">
          <cell r="R183">
            <v>39.6</v>
          </cell>
          <cell r="S183">
            <v>39</v>
          </cell>
        </row>
        <row r="184">
          <cell r="R184">
            <v>39.6</v>
          </cell>
          <cell r="S184">
            <v>39.1</v>
          </cell>
        </row>
        <row r="185">
          <cell r="R185">
            <v>39.7</v>
          </cell>
          <cell r="S185">
            <v>39</v>
          </cell>
        </row>
        <row r="186">
          <cell r="R186">
            <v>39.6</v>
          </cell>
          <cell r="S186">
            <v>39</v>
          </cell>
        </row>
        <row r="187">
          <cell r="R187">
            <v>39.7</v>
          </cell>
          <cell r="S187">
            <v>39</v>
          </cell>
        </row>
        <row r="188">
          <cell r="R188">
            <v>39.9</v>
          </cell>
          <cell r="S188">
            <v>39.1</v>
          </cell>
        </row>
        <row r="189">
          <cell r="R189">
            <v>39.8</v>
          </cell>
          <cell r="S189">
            <v>38.9</v>
          </cell>
        </row>
        <row r="190">
          <cell r="R190">
            <v>39.9</v>
          </cell>
          <cell r="S190">
            <v>39.1</v>
          </cell>
        </row>
        <row r="191">
          <cell r="R191">
            <v>39.8</v>
          </cell>
          <cell r="S191">
            <v>39</v>
          </cell>
        </row>
        <row r="192">
          <cell r="R192">
            <v>39.8</v>
          </cell>
          <cell r="S192">
            <v>38.9</v>
          </cell>
        </row>
        <row r="193">
          <cell r="R193">
            <v>39.9</v>
          </cell>
          <cell r="S193">
            <v>38.9</v>
          </cell>
        </row>
        <row r="194">
          <cell r="R194">
            <v>40</v>
          </cell>
          <cell r="S194">
            <v>39.3</v>
          </cell>
        </row>
        <row r="195">
          <cell r="R195">
            <v>39.9</v>
          </cell>
          <cell r="S195">
            <v>39.3</v>
          </cell>
        </row>
        <row r="197">
          <cell r="R197">
            <v>39.6</v>
          </cell>
          <cell r="S197">
            <v>38.8</v>
          </cell>
        </row>
        <row r="198">
          <cell r="R198">
            <v>39.9</v>
          </cell>
          <cell r="S198">
            <v>39.2</v>
          </cell>
        </row>
        <row r="199">
          <cell r="R199">
            <v>40</v>
          </cell>
          <cell r="S199">
            <v>39</v>
          </cell>
        </row>
        <row r="200">
          <cell r="R200">
            <v>40.2</v>
          </cell>
          <cell r="S200">
            <v>39.2</v>
          </cell>
        </row>
        <row r="201">
          <cell r="R201">
            <v>40.2</v>
          </cell>
          <cell r="S201">
            <v>39.2</v>
          </cell>
        </row>
        <row r="202">
          <cell r="R202">
            <v>40.3</v>
          </cell>
          <cell r="S202">
            <v>39.2</v>
          </cell>
        </row>
        <row r="203">
          <cell r="R203">
            <v>40.4</v>
          </cell>
          <cell r="S203">
            <v>39.1</v>
          </cell>
        </row>
        <row r="204">
          <cell r="R204">
            <v>40.7</v>
          </cell>
          <cell r="S204">
            <v>39.1</v>
          </cell>
        </row>
        <row r="205">
          <cell r="R205">
            <v>41.2</v>
          </cell>
          <cell r="S205">
            <v>39.4</v>
          </cell>
        </row>
        <row r="206">
          <cell r="R206">
            <v>41.5</v>
          </cell>
          <cell r="S206">
            <v>39.8</v>
          </cell>
        </row>
        <row r="207">
          <cell r="R207">
            <v>41.6</v>
          </cell>
          <cell r="S207">
            <v>39.7</v>
          </cell>
        </row>
        <row r="208">
          <cell r="R208">
            <v>41.5</v>
          </cell>
          <cell r="S208">
            <v>39.5</v>
          </cell>
        </row>
        <row r="209">
          <cell r="R209">
            <v>41.5</v>
          </cell>
          <cell r="S209">
            <v>39.5</v>
          </cell>
        </row>
        <row r="210">
          <cell r="R210">
            <v>41.8</v>
          </cell>
          <cell r="S210">
            <v>39.8</v>
          </cell>
        </row>
        <row r="211">
          <cell r="R211">
            <v>41.7</v>
          </cell>
          <cell r="S211">
            <v>39.6</v>
          </cell>
        </row>
        <row r="212">
          <cell r="R212">
            <v>41.5</v>
          </cell>
          <cell r="S212">
            <v>39.6</v>
          </cell>
        </row>
        <row r="213">
          <cell r="R213">
            <v>41</v>
          </cell>
          <cell r="S213">
            <v>39.7</v>
          </cell>
        </row>
        <row r="214">
          <cell r="R214">
            <v>36.9</v>
          </cell>
          <cell r="S214">
            <v>39</v>
          </cell>
        </row>
        <row r="263">
          <cell r="R263">
            <v>32.1</v>
          </cell>
          <cell r="S263">
            <v>35.7</v>
          </cell>
        </row>
        <row r="264">
          <cell r="R264">
            <v>31.4</v>
          </cell>
          <cell r="S264">
            <v>34.1</v>
          </cell>
        </row>
        <row r="265">
          <cell r="R265">
            <v>31.5</v>
          </cell>
          <cell r="S265">
            <v>34.2</v>
          </cell>
        </row>
        <row r="266">
          <cell r="R266">
            <v>31.7</v>
          </cell>
          <cell r="S266">
            <v>33.5</v>
          </cell>
        </row>
        <row r="267">
          <cell r="R267">
            <v>32.9</v>
          </cell>
          <cell r="S267">
            <v>34</v>
          </cell>
        </row>
        <row r="268">
          <cell r="R268">
            <v>33.6</v>
          </cell>
          <cell r="S268">
            <v>33.8</v>
          </cell>
        </row>
        <row r="269">
          <cell r="R269">
            <v>34.5</v>
          </cell>
          <cell r="S269">
            <v>32.7</v>
          </cell>
        </row>
        <row r="270">
          <cell r="R270">
            <v>35.5</v>
          </cell>
          <cell r="S270">
            <v>33.2</v>
          </cell>
        </row>
        <row r="271">
          <cell r="R271">
            <v>36.4</v>
          </cell>
          <cell r="S271">
            <v>32.6</v>
          </cell>
        </row>
        <row r="272">
          <cell r="R272">
            <v>37.3</v>
          </cell>
          <cell r="S272">
            <v>31.8</v>
          </cell>
        </row>
        <row r="273">
          <cell r="R273">
            <v>37.9</v>
          </cell>
          <cell r="S273">
            <v>30.6</v>
          </cell>
        </row>
        <row r="274">
          <cell r="R274">
            <v>38.2</v>
          </cell>
          <cell r="S274">
            <v>31.9</v>
          </cell>
        </row>
        <row r="275">
          <cell r="R275">
            <v>38.7</v>
          </cell>
          <cell r="S275">
            <v>36.4</v>
          </cell>
        </row>
        <row r="276">
          <cell r="R276">
            <v>39</v>
          </cell>
          <cell r="S276">
            <v>32.8</v>
          </cell>
        </row>
        <row r="277">
          <cell r="R277">
            <v>38.9</v>
          </cell>
          <cell r="S277">
            <v>33.1</v>
          </cell>
        </row>
        <row r="278">
          <cell r="R278">
            <v>39.6</v>
          </cell>
          <cell r="S278">
            <v>32.4</v>
          </cell>
        </row>
        <row r="279">
          <cell r="R279">
            <v>39.9</v>
          </cell>
          <cell r="S279">
            <v>32.5</v>
          </cell>
        </row>
        <row r="280">
          <cell r="R280">
            <v>40.1</v>
          </cell>
          <cell r="S280">
            <v>33.5</v>
          </cell>
        </row>
        <row r="281">
          <cell r="R281">
            <v>40.2</v>
          </cell>
          <cell r="S281">
            <v>33.8</v>
          </cell>
        </row>
        <row r="282">
          <cell r="R282">
            <v>40.6</v>
          </cell>
          <cell r="S282">
            <v>33.1</v>
          </cell>
        </row>
        <row r="283">
          <cell r="R283">
            <v>40.9</v>
          </cell>
          <cell r="S283">
            <v>33.3</v>
          </cell>
        </row>
        <row r="284">
          <cell r="R284">
            <v>41.2</v>
          </cell>
          <cell r="S284">
            <v>33.4</v>
          </cell>
        </row>
        <row r="285">
          <cell r="R285">
            <v>41.1</v>
          </cell>
          <cell r="S285">
            <v>34.1</v>
          </cell>
        </row>
        <row r="286">
          <cell r="R286">
            <v>41.1</v>
          </cell>
          <cell r="S286">
            <v>34.6</v>
          </cell>
        </row>
        <row r="287">
          <cell r="R287">
            <v>41.4</v>
          </cell>
          <cell r="S287">
            <v>35.6</v>
          </cell>
        </row>
        <row r="288">
          <cell r="R288">
            <v>41.6</v>
          </cell>
          <cell r="S288">
            <v>36.1</v>
          </cell>
        </row>
        <row r="289">
          <cell r="R289">
            <v>41.7</v>
          </cell>
          <cell r="S289">
            <v>36.3</v>
          </cell>
        </row>
        <row r="290">
          <cell r="R290">
            <v>41.5</v>
          </cell>
          <cell r="S290">
            <v>36.3</v>
          </cell>
        </row>
        <row r="291">
          <cell r="R291">
            <v>41.6</v>
          </cell>
          <cell r="S291">
            <v>36.7</v>
          </cell>
        </row>
        <row r="292">
          <cell r="R292">
            <v>41.2</v>
          </cell>
          <cell r="S292">
            <v>36.7</v>
          </cell>
        </row>
        <row r="293">
          <cell r="R293">
            <v>41.6</v>
          </cell>
          <cell r="S293">
            <v>37.5</v>
          </cell>
        </row>
        <row r="294">
          <cell r="R294">
            <v>41.5</v>
          </cell>
          <cell r="S294">
            <v>37.8</v>
          </cell>
        </row>
        <row r="295">
          <cell r="R295">
            <v>41.7</v>
          </cell>
          <cell r="S295">
            <v>38.2</v>
          </cell>
        </row>
        <row r="296">
          <cell r="R296">
            <v>41.9</v>
          </cell>
          <cell r="S296">
            <v>38.8</v>
          </cell>
        </row>
        <row r="297">
          <cell r="R297">
            <v>42</v>
          </cell>
          <cell r="S297">
            <v>39.2</v>
          </cell>
        </row>
        <row r="298">
          <cell r="R298">
            <v>41.9</v>
          </cell>
          <cell r="S298">
            <v>38.9</v>
          </cell>
        </row>
        <row r="299">
          <cell r="R299">
            <v>42.1</v>
          </cell>
          <cell r="S299">
            <v>39.2</v>
          </cell>
        </row>
        <row r="300">
          <cell r="R300">
            <v>42</v>
          </cell>
          <cell r="S300">
            <v>39.1</v>
          </cell>
        </row>
        <row r="301">
          <cell r="R301">
            <v>41.8</v>
          </cell>
          <cell r="S301">
            <v>38.9</v>
          </cell>
        </row>
        <row r="302">
          <cell r="R302">
            <v>41.8</v>
          </cell>
          <cell r="S302">
            <v>39.2</v>
          </cell>
        </row>
        <row r="303">
          <cell r="R303">
            <v>41.7</v>
          </cell>
          <cell r="S303">
            <v>39</v>
          </cell>
        </row>
        <row r="304">
          <cell r="R304">
            <v>42</v>
          </cell>
          <cell r="S304">
            <v>39.5</v>
          </cell>
        </row>
        <row r="305">
          <cell r="R305">
            <v>42.1</v>
          </cell>
          <cell r="S305">
            <v>39.5</v>
          </cell>
        </row>
        <row r="306">
          <cell r="R306">
            <v>41.9</v>
          </cell>
          <cell r="S306">
            <v>39.2</v>
          </cell>
        </row>
        <row r="307">
          <cell r="R307">
            <v>41.9</v>
          </cell>
          <cell r="S307">
            <v>39.2</v>
          </cell>
        </row>
        <row r="308">
          <cell r="R308">
            <v>41.5</v>
          </cell>
          <cell r="S308">
            <v>38.9</v>
          </cell>
        </row>
        <row r="309">
          <cell r="R309">
            <v>42.1</v>
          </cell>
          <cell r="S309">
            <v>39.7</v>
          </cell>
        </row>
        <row r="310">
          <cell r="R310">
            <v>42.1</v>
          </cell>
          <cell r="S310">
            <v>39.6</v>
          </cell>
        </row>
        <row r="311">
          <cell r="R311">
            <v>42</v>
          </cell>
          <cell r="S311">
            <v>39.5</v>
          </cell>
        </row>
        <row r="312">
          <cell r="R312">
            <v>42</v>
          </cell>
          <cell r="S312">
            <v>39.4</v>
          </cell>
        </row>
        <row r="313">
          <cell r="R313">
            <v>41.8</v>
          </cell>
          <cell r="S313">
            <v>39.5</v>
          </cell>
        </row>
        <row r="314">
          <cell r="R314">
            <v>41.6</v>
          </cell>
          <cell r="S314">
            <v>39</v>
          </cell>
        </row>
        <row r="315">
          <cell r="R315">
            <v>41.6</v>
          </cell>
          <cell r="S315">
            <v>39.3</v>
          </cell>
        </row>
        <row r="316">
          <cell r="R316">
            <v>41.4</v>
          </cell>
          <cell r="S316">
            <v>39.3</v>
          </cell>
        </row>
        <row r="317">
          <cell r="R317">
            <v>41.1</v>
          </cell>
          <cell r="S317">
            <v>39.1</v>
          </cell>
        </row>
        <row r="318">
          <cell r="R318">
            <v>41</v>
          </cell>
          <cell r="S318">
            <v>39.1</v>
          </cell>
        </row>
        <row r="319">
          <cell r="R319">
            <v>40.8</v>
          </cell>
          <cell r="S319">
            <v>39</v>
          </cell>
        </row>
        <row r="322">
          <cell r="R322">
            <v>40.4</v>
          </cell>
          <cell r="S322">
            <v>39.1</v>
          </cell>
        </row>
        <row r="323">
          <cell r="R323">
            <v>40.4</v>
          </cell>
          <cell r="S323">
            <v>39.2</v>
          </cell>
        </row>
        <row r="324">
          <cell r="R324">
            <v>40.2</v>
          </cell>
          <cell r="S324">
            <v>39</v>
          </cell>
        </row>
        <row r="325">
          <cell r="R325">
            <v>40</v>
          </cell>
          <cell r="S325">
            <v>39.2</v>
          </cell>
        </row>
        <row r="326">
          <cell r="R326">
            <v>39.9</v>
          </cell>
          <cell r="S326">
            <v>39.1</v>
          </cell>
        </row>
        <row r="327">
          <cell r="R327">
            <v>39.8</v>
          </cell>
          <cell r="S327">
            <v>39.1</v>
          </cell>
        </row>
        <row r="328">
          <cell r="R328">
            <v>39.5</v>
          </cell>
          <cell r="S328">
            <v>39.2</v>
          </cell>
        </row>
        <row r="329">
          <cell r="R329">
            <v>39.5</v>
          </cell>
          <cell r="S329">
            <v>39</v>
          </cell>
        </row>
        <row r="330">
          <cell r="R330">
            <v>39.2</v>
          </cell>
          <cell r="S330">
            <v>39.2</v>
          </cell>
        </row>
        <row r="331">
          <cell r="R331">
            <v>39.3</v>
          </cell>
          <cell r="S331">
            <v>39.1</v>
          </cell>
        </row>
        <row r="332">
          <cell r="R332">
            <v>39.2</v>
          </cell>
          <cell r="S332">
            <v>39.1</v>
          </cell>
        </row>
        <row r="333">
          <cell r="R333">
            <v>39.1</v>
          </cell>
          <cell r="S333">
            <v>38.9</v>
          </cell>
        </row>
        <row r="334">
          <cell r="R334">
            <v>39.1</v>
          </cell>
          <cell r="S334">
            <v>39</v>
          </cell>
        </row>
        <row r="335">
          <cell r="R335">
            <v>39.1</v>
          </cell>
          <cell r="S335">
            <v>39.1</v>
          </cell>
        </row>
        <row r="336">
          <cell r="R336">
            <v>39.2</v>
          </cell>
          <cell r="S336">
            <v>38.9</v>
          </cell>
        </row>
        <row r="337">
          <cell r="R337">
            <v>39.2</v>
          </cell>
          <cell r="S337">
            <v>39.1</v>
          </cell>
        </row>
        <row r="338">
          <cell r="R338">
            <v>39.4</v>
          </cell>
          <cell r="S338">
            <v>39.2</v>
          </cell>
        </row>
        <row r="339">
          <cell r="R339">
            <v>39.4</v>
          </cell>
          <cell r="S339">
            <v>39.2</v>
          </cell>
        </row>
        <row r="340">
          <cell r="R340">
            <v>39.5</v>
          </cell>
          <cell r="S340">
            <v>39.2</v>
          </cell>
        </row>
        <row r="342">
          <cell r="R342">
            <v>39.2</v>
          </cell>
          <cell r="S342">
            <v>38.9</v>
          </cell>
        </row>
        <row r="343">
          <cell r="R343">
            <v>39.1</v>
          </cell>
          <cell r="S343">
            <v>38.9</v>
          </cell>
        </row>
        <row r="344">
          <cell r="R344">
            <v>38.9</v>
          </cell>
          <cell r="S344">
            <v>39.1</v>
          </cell>
        </row>
        <row r="345">
          <cell r="R345">
            <v>39</v>
          </cell>
          <cell r="S345">
            <v>39</v>
          </cell>
        </row>
        <row r="346">
          <cell r="R346">
            <v>39.1</v>
          </cell>
          <cell r="S346">
            <v>39</v>
          </cell>
        </row>
        <row r="347">
          <cell r="R347">
            <v>39.2</v>
          </cell>
          <cell r="S347">
            <v>39</v>
          </cell>
        </row>
        <row r="351">
          <cell r="R351">
            <v>39.2</v>
          </cell>
          <cell r="S351">
            <v>39.1</v>
          </cell>
        </row>
        <row r="352">
          <cell r="R352">
            <v>39.4</v>
          </cell>
          <cell r="S352">
            <v>39</v>
          </cell>
        </row>
        <row r="353">
          <cell r="R353">
            <v>39.6</v>
          </cell>
          <cell r="S353">
            <v>38.9</v>
          </cell>
        </row>
        <row r="354">
          <cell r="R354">
            <v>40.1</v>
          </cell>
          <cell r="S354">
            <v>39.4</v>
          </cell>
        </row>
        <row r="355">
          <cell r="R355">
            <v>40.2</v>
          </cell>
          <cell r="S355">
            <v>39.5</v>
          </cell>
        </row>
        <row r="356">
          <cell r="R356">
            <v>40.4</v>
          </cell>
          <cell r="S356">
            <v>40</v>
          </cell>
        </row>
        <row r="357">
          <cell r="R357">
            <v>40.4</v>
          </cell>
          <cell r="S357">
            <v>40.1</v>
          </cell>
        </row>
        <row r="358">
          <cell r="R358">
            <v>40.3</v>
          </cell>
          <cell r="S358">
            <v>40</v>
          </cell>
        </row>
        <row r="359">
          <cell r="R359">
            <v>40.2</v>
          </cell>
          <cell r="S359">
            <v>40.2</v>
          </cell>
        </row>
        <row r="360">
          <cell r="R360">
            <v>40.2</v>
          </cell>
          <cell r="S360">
            <v>40.1</v>
          </cell>
        </row>
        <row r="361">
          <cell r="R361">
            <v>40.1</v>
          </cell>
          <cell r="S361">
            <v>40.1</v>
          </cell>
        </row>
        <row r="362">
          <cell r="R362">
            <v>40.1</v>
          </cell>
          <cell r="S362">
            <v>40</v>
          </cell>
        </row>
        <row r="363">
          <cell r="R363">
            <v>40.1</v>
          </cell>
          <cell r="S363">
            <v>40</v>
          </cell>
        </row>
        <row r="364">
          <cell r="R364">
            <v>40.2</v>
          </cell>
          <cell r="S364">
            <v>40.1</v>
          </cell>
        </row>
        <row r="365">
          <cell r="R365">
            <v>40.2</v>
          </cell>
          <cell r="S365">
            <v>40.2</v>
          </cell>
        </row>
        <row r="366">
          <cell r="R366">
            <v>40.1</v>
          </cell>
          <cell r="S366">
            <v>40.2</v>
          </cell>
        </row>
        <row r="367">
          <cell r="R367">
            <v>40</v>
          </cell>
          <cell r="S367">
            <v>40</v>
          </cell>
        </row>
        <row r="368">
          <cell r="R368">
            <v>40.1</v>
          </cell>
          <cell r="S368">
            <v>40.2</v>
          </cell>
        </row>
        <row r="369">
          <cell r="R369">
            <v>40.1</v>
          </cell>
          <cell r="S369">
            <v>40.1</v>
          </cell>
        </row>
        <row r="370">
          <cell r="R370">
            <v>40.2</v>
          </cell>
          <cell r="S370">
            <v>40.2</v>
          </cell>
        </row>
      </sheetData>
      <sheetData sheetId="8">
        <row r="157">
          <cell r="Q157">
            <v>833573.981157425</v>
          </cell>
        </row>
        <row r="182">
          <cell r="L182">
            <v>7.5003799934934</v>
          </cell>
        </row>
        <row r="196">
          <cell r="O196">
            <v>0.136122660383518</v>
          </cell>
        </row>
        <row r="197">
          <cell r="O197">
            <v>0.14</v>
          </cell>
        </row>
        <row r="198">
          <cell r="O198">
            <v>0.133218030912717</v>
          </cell>
        </row>
        <row r="199">
          <cell r="O199">
            <v>0.174175320490982</v>
          </cell>
        </row>
        <row r="200">
          <cell r="O200">
            <v>0.119387093203715</v>
          </cell>
        </row>
        <row r="201">
          <cell r="O201">
            <v>0.124343264608437</v>
          </cell>
        </row>
        <row r="202">
          <cell r="O202">
            <v>0.153123735964214</v>
          </cell>
        </row>
        <row r="203">
          <cell r="O203">
            <v>0.13415668188102</v>
          </cell>
        </row>
        <row r="204">
          <cell r="O204" t="str">
            <v>-</v>
          </cell>
        </row>
        <row r="205">
          <cell r="O205" t="str">
            <v>-</v>
          </cell>
        </row>
        <row r="206">
          <cell r="O206">
            <v>0.123682373318888</v>
          </cell>
        </row>
        <row r="207">
          <cell r="O207">
            <v>0.136613789954891</v>
          </cell>
        </row>
        <row r="208">
          <cell r="O208">
            <v>0.137482295071838</v>
          </cell>
        </row>
        <row r="230">
          <cell r="L230">
            <v>1945.45454545455</v>
          </cell>
          <cell r="M230">
            <v>5221.33333333333</v>
          </cell>
          <cell r="N230">
            <v>7.72727272727273</v>
          </cell>
        </row>
      </sheetData>
      <sheetData sheetId="9">
        <row r="5">
          <cell r="AD5">
            <v>51.4</v>
          </cell>
        </row>
        <row r="5">
          <cell r="AF5">
            <v>0.6</v>
          </cell>
        </row>
        <row r="5">
          <cell r="AH5">
            <v>0</v>
          </cell>
        </row>
        <row r="6">
          <cell r="AD6">
            <v>51.3</v>
          </cell>
        </row>
        <row r="6">
          <cell r="AF6">
            <v>0.5</v>
          </cell>
        </row>
        <row r="6">
          <cell r="AH6">
            <v>0</v>
          </cell>
        </row>
        <row r="7">
          <cell r="AD7">
            <v>51.1</v>
          </cell>
        </row>
        <row r="7">
          <cell r="AF7">
            <v>0.5</v>
          </cell>
        </row>
        <row r="7">
          <cell r="AH7">
            <v>0</v>
          </cell>
        </row>
        <row r="8">
          <cell r="AD8">
            <v>51.3</v>
          </cell>
        </row>
        <row r="8">
          <cell r="AF8">
            <v>0.6</v>
          </cell>
        </row>
        <row r="8">
          <cell r="AH8">
            <v>0</v>
          </cell>
        </row>
        <row r="9">
          <cell r="AD9">
            <v>51.3</v>
          </cell>
        </row>
        <row r="9">
          <cell r="AF9">
            <v>0.5</v>
          </cell>
        </row>
        <row r="9">
          <cell r="AH9">
            <v>0</v>
          </cell>
        </row>
        <row r="10">
          <cell r="AD10">
            <v>51.3</v>
          </cell>
        </row>
        <row r="10">
          <cell r="AF10">
            <v>0.6</v>
          </cell>
        </row>
        <row r="10">
          <cell r="AH10">
            <v>0</v>
          </cell>
        </row>
        <row r="11">
          <cell r="AD11">
            <v>51.3</v>
          </cell>
        </row>
        <row r="11">
          <cell r="AF11">
            <v>0.7</v>
          </cell>
        </row>
        <row r="11">
          <cell r="AH11">
            <v>0</v>
          </cell>
        </row>
        <row r="15">
          <cell r="AD15">
            <v>51.3</v>
          </cell>
        </row>
        <row r="15">
          <cell r="AF15">
            <v>0.6</v>
          </cell>
        </row>
        <row r="15">
          <cell r="AH15">
            <v>0</v>
          </cell>
        </row>
        <row r="16">
          <cell r="AD16">
            <v>51.4</v>
          </cell>
        </row>
        <row r="16">
          <cell r="AF16">
            <v>0.5</v>
          </cell>
        </row>
        <row r="16">
          <cell r="AH16">
            <v>0</v>
          </cell>
        </row>
        <row r="17">
          <cell r="AD17">
            <v>51.2</v>
          </cell>
        </row>
        <row r="17">
          <cell r="AF17">
            <v>0.6</v>
          </cell>
        </row>
        <row r="17">
          <cell r="AH17">
            <v>0</v>
          </cell>
        </row>
        <row r="18">
          <cell r="AD18">
            <v>51.2</v>
          </cell>
        </row>
        <row r="18">
          <cell r="AF18">
            <v>0.6</v>
          </cell>
        </row>
        <row r="18">
          <cell r="AH18">
            <v>4</v>
          </cell>
        </row>
        <row r="19">
          <cell r="AD19">
            <v>51.1</v>
          </cell>
        </row>
        <row r="19">
          <cell r="AF19">
            <v>0.6</v>
          </cell>
        </row>
        <row r="19">
          <cell r="AH19">
            <v>212</v>
          </cell>
        </row>
        <row r="20">
          <cell r="AD20">
            <v>51</v>
          </cell>
        </row>
        <row r="20">
          <cell r="AF20">
            <v>0.6</v>
          </cell>
        </row>
        <row r="20">
          <cell r="AH20">
            <v>17</v>
          </cell>
        </row>
        <row r="21">
          <cell r="AD21">
            <v>50.7</v>
          </cell>
        </row>
        <row r="21">
          <cell r="AF21">
            <v>0.6</v>
          </cell>
        </row>
        <row r="21">
          <cell r="AH21">
            <v>126</v>
          </cell>
        </row>
        <row r="22">
          <cell r="AD22">
            <v>50.9</v>
          </cell>
        </row>
        <row r="22">
          <cell r="AF22">
            <v>0.6</v>
          </cell>
        </row>
        <row r="22">
          <cell r="AH22">
            <v>9</v>
          </cell>
        </row>
        <row r="23">
          <cell r="AD23">
            <v>50.8</v>
          </cell>
        </row>
        <row r="23">
          <cell r="AF23">
            <v>0.6</v>
          </cell>
        </row>
        <row r="23">
          <cell r="AH23">
            <v>7</v>
          </cell>
        </row>
        <row r="24">
          <cell r="AD24">
            <v>51</v>
          </cell>
        </row>
        <row r="24">
          <cell r="AF24">
            <v>0.6</v>
          </cell>
        </row>
        <row r="24">
          <cell r="AH24">
            <v>8</v>
          </cell>
        </row>
        <row r="25">
          <cell r="AD25">
            <v>50.8</v>
          </cell>
        </row>
        <row r="25">
          <cell r="AF25">
            <v>0.6</v>
          </cell>
        </row>
        <row r="25">
          <cell r="AH25">
            <v>10</v>
          </cell>
        </row>
        <row r="26">
          <cell r="AD26">
            <v>50.7</v>
          </cell>
        </row>
        <row r="26">
          <cell r="AF26">
            <v>0.6</v>
          </cell>
        </row>
        <row r="26">
          <cell r="AH26">
            <v>6</v>
          </cell>
        </row>
        <row r="27">
          <cell r="AD27">
            <v>50.7</v>
          </cell>
        </row>
        <row r="27">
          <cell r="AF27">
            <v>0.6</v>
          </cell>
        </row>
        <row r="27">
          <cell r="AH27">
            <v>4</v>
          </cell>
        </row>
        <row r="28">
          <cell r="AD28">
            <v>50.9</v>
          </cell>
        </row>
        <row r="28">
          <cell r="AF28">
            <v>0.6</v>
          </cell>
        </row>
        <row r="28">
          <cell r="AH28">
            <v>6</v>
          </cell>
        </row>
        <row r="29">
          <cell r="AD29">
            <v>50.9</v>
          </cell>
        </row>
        <row r="29">
          <cell r="AF29">
            <v>0.6</v>
          </cell>
        </row>
        <row r="29">
          <cell r="AH29">
            <v>6</v>
          </cell>
        </row>
        <row r="30">
          <cell r="AD30">
            <v>50.7</v>
          </cell>
        </row>
        <row r="30">
          <cell r="AF30">
            <v>0.6</v>
          </cell>
        </row>
        <row r="30">
          <cell r="AH30">
            <v>10</v>
          </cell>
        </row>
        <row r="31">
          <cell r="AD31">
            <v>50.6</v>
          </cell>
        </row>
        <row r="31">
          <cell r="AF31">
            <v>0.6</v>
          </cell>
        </row>
        <row r="31">
          <cell r="AH31">
            <v>17</v>
          </cell>
        </row>
        <row r="32">
          <cell r="AD32">
            <v>50.7</v>
          </cell>
        </row>
        <row r="32">
          <cell r="AF32">
            <v>0.6</v>
          </cell>
        </row>
        <row r="32">
          <cell r="AH32">
            <v>15</v>
          </cell>
        </row>
        <row r="33">
          <cell r="AD33">
            <v>51</v>
          </cell>
        </row>
        <row r="33">
          <cell r="AF33">
            <v>0.6</v>
          </cell>
        </row>
        <row r="33">
          <cell r="AH33">
            <v>29</v>
          </cell>
        </row>
        <row r="34">
          <cell r="AD34">
            <v>50.7</v>
          </cell>
        </row>
        <row r="34">
          <cell r="AF34">
            <v>0.7</v>
          </cell>
        </row>
        <row r="34">
          <cell r="AH34">
            <v>0</v>
          </cell>
        </row>
        <row r="35">
          <cell r="AD35">
            <v>51</v>
          </cell>
        </row>
        <row r="35">
          <cell r="AF35">
            <v>0.6</v>
          </cell>
        </row>
        <row r="35">
          <cell r="AH35">
            <v>0</v>
          </cell>
        </row>
        <row r="36">
          <cell r="AD36">
            <v>51.1</v>
          </cell>
        </row>
        <row r="36">
          <cell r="AF36">
            <v>0.7</v>
          </cell>
        </row>
        <row r="36">
          <cell r="AH36">
            <v>0</v>
          </cell>
        </row>
        <row r="37">
          <cell r="AD37">
            <v>51.3</v>
          </cell>
        </row>
        <row r="37">
          <cell r="AF37">
            <v>0.7</v>
          </cell>
        </row>
        <row r="37">
          <cell r="AH37">
            <v>0</v>
          </cell>
        </row>
        <row r="38">
          <cell r="AD38">
            <v>50.9</v>
          </cell>
        </row>
        <row r="38">
          <cell r="AF38">
            <v>0.6</v>
          </cell>
        </row>
        <row r="38">
          <cell r="AH38">
            <v>0</v>
          </cell>
        </row>
        <row r="39">
          <cell r="AD39">
            <v>50.9</v>
          </cell>
        </row>
        <row r="39">
          <cell r="AF39">
            <v>0.6</v>
          </cell>
        </row>
        <row r="39">
          <cell r="AH39">
            <v>0</v>
          </cell>
        </row>
        <row r="40">
          <cell r="AD40">
            <v>50.8</v>
          </cell>
        </row>
        <row r="40">
          <cell r="AF40">
            <v>0.6</v>
          </cell>
        </row>
        <row r="40">
          <cell r="AH40">
            <v>0</v>
          </cell>
        </row>
        <row r="41">
          <cell r="AD41">
            <v>50.9</v>
          </cell>
        </row>
        <row r="41">
          <cell r="AF41">
            <v>0.6</v>
          </cell>
        </row>
        <row r="41">
          <cell r="AH41">
            <v>0</v>
          </cell>
        </row>
        <row r="42">
          <cell r="AD42">
            <v>50.8</v>
          </cell>
        </row>
        <row r="42">
          <cell r="AF42">
            <v>0.6</v>
          </cell>
        </row>
        <row r="42">
          <cell r="AH42">
            <v>0</v>
          </cell>
        </row>
        <row r="53">
          <cell r="AD53">
            <v>51.5</v>
          </cell>
        </row>
        <row r="53">
          <cell r="AF53">
            <v>0.5</v>
          </cell>
        </row>
        <row r="53">
          <cell r="AH53">
            <v>1</v>
          </cell>
        </row>
        <row r="54">
          <cell r="AD54">
            <v>51.5</v>
          </cell>
        </row>
        <row r="54">
          <cell r="AF54">
            <v>0.5</v>
          </cell>
        </row>
        <row r="54">
          <cell r="AH54">
            <v>1</v>
          </cell>
        </row>
        <row r="55">
          <cell r="AD55">
            <v>51.7</v>
          </cell>
        </row>
        <row r="55">
          <cell r="AF55">
            <v>0.5</v>
          </cell>
        </row>
        <row r="55">
          <cell r="AH55">
            <v>1</v>
          </cell>
        </row>
        <row r="56">
          <cell r="AD56">
            <v>51.6</v>
          </cell>
        </row>
        <row r="56">
          <cell r="AF56">
            <v>0.5</v>
          </cell>
        </row>
        <row r="56">
          <cell r="AH56">
            <v>4</v>
          </cell>
        </row>
        <row r="57">
          <cell r="AD57">
            <v>51.3</v>
          </cell>
        </row>
        <row r="57">
          <cell r="AF57">
            <v>0.5</v>
          </cell>
        </row>
        <row r="57">
          <cell r="AH57">
            <v>12</v>
          </cell>
        </row>
        <row r="58">
          <cell r="AD58">
            <v>51.1</v>
          </cell>
        </row>
        <row r="58">
          <cell r="AF58">
            <v>0.5</v>
          </cell>
        </row>
        <row r="58">
          <cell r="AH58">
            <v>9</v>
          </cell>
        </row>
        <row r="59">
          <cell r="AD59">
            <v>51.3</v>
          </cell>
        </row>
        <row r="59">
          <cell r="AF59">
            <v>0.6</v>
          </cell>
        </row>
        <row r="59">
          <cell r="AH59">
            <v>4</v>
          </cell>
        </row>
        <row r="60">
          <cell r="AD60">
            <v>51.1</v>
          </cell>
        </row>
        <row r="60">
          <cell r="AF60">
            <v>0.7</v>
          </cell>
        </row>
        <row r="60">
          <cell r="AH60">
            <v>1</v>
          </cell>
        </row>
        <row r="61">
          <cell r="AD61">
            <v>50.8</v>
          </cell>
        </row>
        <row r="61">
          <cell r="AF61">
            <v>0.7</v>
          </cell>
        </row>
        <row r="61">
          <cell r="AH61">
            <v>1</v>
          </cell>
        </row>
        <row r="62">
          <cell r="AD62">
            <v>50.9</v>
          </cell>
        </row>
        <row r="62">
          <cell r="AF62">
            <v>0.8</v>
          </cell>
        </row>
        <row r="62">
          <cell r="AH62">
            <v>1</v>
          </cell>
        </row>
        <row r="63">
          <cell r="AD63">
            <v>50.9</v>
          </cell>
        </row>
        <row r="63">
          <cell r="AF63">
            <v>0.8</v>
          </cell>
        </row>
        <row r="63">
          <cell r="AH63">
            <v>1</v>
          </cell>
        </row>
        <row r="64">
          <cell r="AD64">
            <v>50.7</v>
          </cell>
        </row>
        <row r="64">
          <cell r="AF64">
            <v>0.8</v>
          </cell>
        </row>
        <row r="64">
          <cell r="AH64">
            <v>1</v>
          </cell>
        </row>
        <row r="65">
          <cell r="AD65">
            <v>50.8</v>
          </cell>
        </row>
        <row r="65">
          <cell r="AF65">
            <v>0.7</v>
          </cell>
        </row>
        <row r="65">
          <cell r="AH65">
            <v>2</v>
          </cell>
        </row>
        <row r="66">
          <cell r="AD66">
            <v>50.7</v>
          </cell>
        </row>
        <row r="66">
          <cell r="AF66">
            <v>0.7</v>
          </cell>
        </row>
        <row r="66">
          <cell r="AH66">
            <v>4</v>
          </cell>
        </row>
        <row r="67">
          <cell r="AD67">
            <v>50.4</v>
          </cell>
        </row>
        <row r="67">
          <cell r="AF67">
            <v>0.8</v>
          </cell>
        </row>
        <row r="67">
          <cell r="AH67">
            <v>5</v>
          </cell>
        </row>
        <row r="68">
          <cell r="AD68">
            <v>50.7</v>
          </cell>
        </row>
        <row r="68">
          <cell r="AF68">
            <v>0.7</v>
          </cell>
        </row>
        <row r="68">
          <cell r="AH68">
            <v>11</v>
          </cell>
        </row>
        <row r="69">
          <cell r="AD69">
            <v>50.9</v>
          </cell>
        </row>
        <row r="69">
          <cell r="AF69">
            <v>0.6</v>
          </cell>
        </row>
        <row r="69">
          <cell r="AH69">
            <v>19</v>
          </cell>
        </row>
        <row r="70">
          <cell r="AD70">
            <v>50.9</v>
          </cell>
        </row>
        <row r="70">
          <cell r="AF70">
            <v>0.6</v>
          </cell>
        </row>
        <row r="70">
          <cell r="AH70">
            <v>94</v>
          </cell>
        </row>
        <row r="71">
          <cell r="AD71">
            <v>51.3</v>
          </cell>
        </row>
        <row r="71">
          <cell r="AF71">
            <v>0.6</v>
          </cell>
        </row>
        <row r="71">
          <cell r="AH71">
            <v>36</v>
          </cell>
        </row>
        <row r="72">
          <cell r="AD72">
            <v>51.4</v>
          </cell>
        </row>
        <row r="72">
          <cell r="AF72">
            <v>0.7</v>
          </cell>
        </row>
        <row r="72">
          <cell r="AH72">
            <v>0</v>
          </cell>
        </row>
        <row r="73">
          <cell r="AD73">
            <v>51.3</v>
          </cell>
        </row>
        <row r="73">
          <cell r="AF73">
            <v>0.6</v>
          </cell>
        </row>
        <row r="73">
          <cell r="AH73">
            <v>0</v>
          </cell>
        </row>
        <row r="74">
          <cell r="AD74">
            <v>51.3</v>
          </cell>
        </row>
        <row r="74">
          <cell r="AF74">
            <v>0.6</v>
          </cell>
        </row>
        <row r="74">
          <cell r="AH74">
            <v>0</v>
          </cell>
        </row>
        <row r="77">
          <cell r="AD77">
            <v>51.2</v>
          </cell>
        </row>
        <row r="77">
          <cell r="AF77">
            <v>0.6</v>
          </cell>
        </row>
        <row r="77">
          <cell r="AH77">
            <v>0</v>
          </cell>
        </row>
        <row r="78">
          <cell r="AD78">
            <v>51.3</v>
          </cell>
        </row>
        <row r="78">
          <cell r="AF78">
            <v>0.6</v>
          </cell>
        </row>
        <row r="78">
          <cell r="AH78">
            <v>0</v>
          </cell>
        </row>
        <row r="79">
          <cell r="AD79">
            <v>51</v>
          </cell>
        </row>
        <row r="79">
          <cell r="AF79">
            <v>0.6</v>
          </cell>
        </row>
        <row r="79">
          <cell r="AH79">
            <v>0</v>
          </cell>
        </row>
        <row r="80">
          <cell r="AD80">
            <v>50.9</v>
          </cell>
        </row>
        <row r="80">
          <cell r="AF80">
            <v>0.5</v>
          </cell>
        </row>
        <row r="80">
          <cell r="AH80">
            <v>0</v>
          </cell>
        </row>
        <row r="81">
          <cell r="AD81">
            <v>51</v>
          </cell>
        </row>
        <row r="81">
          <cell r="AF81">
            <v>0.6</v>
          </cell>
        </row>
        <row r="81">
          <cell r="AH81">
            <v>0</v>
          </cell>
        </row>
        <row r="82">
          <cell r="AD82">
            <v>51</v>
          </cell>
        </row>
        <row r="82">
          <cell r="AF82">
            <v>0.6</v>
          </cell>
        </row>
        <row r="82">
          <cell r="AH82">
            <v>0</v>
          </cell>
        </row>
        <row r="83">
          <cell r="AD83">
            <v>50.8</v>
          </cell>
        </row>
        <row r="83">
          <cell r="AF83">
            <v>0.6</v>
          </cell>
        </row>
        <row r="83">
          <cell r="AH83">
            <v>0</v>
          </cell>
        </row>
        <row r="84">
          <cell r="AD84">
            <v>50.8</v>
          </cell>
        </row>
        <row r="84">
          <cell r="AF84">
            <v>0.6</v>
          </cell>
        </row>
        <row r="84">
          <cell r="AH84">
            <v>0</v>
          </cell>
        </row>
        <row r="85">
          <cell r="AD85">
            <v>51.3</v>
          </cell>
        </row>
        <row r="85">
          <cell r="AF85">
            <v>0.6</v>
          </cell>
        </row>
        <row r="85">
          <cell r="AH85">
            <v>0</v>
          </cell>
        </row>
        <row r="86">
          <cell r="AD86">
            <v>51.1</v>
          </cell>
        </row>
        <row r="86">
          <cell r="AF86">
            <v>0.6</v>
          </cell>
        </row>
        <row r="86">
          <cell r="AH86">
            <v>0</v>
          </cell>
        </row>
        <row r="87">
          <cell r="AD87">
            <v>51.3</v>
          </cell>
        </row>
        <row r="87">
          <cell r="AF87">
            <v>0.6</v>
          </cell>
        </row>
        <row r="87">
          <cell r="AH87">
            <v>0</v>
          </cell>
        </row>
        <row r="88">
          <cell r="AD88">
            <v>51.1</v>
          </cell>
        </row>
        <row r="88">
          <cell r="AF88">
            <v>0.7</v>
          </cell>
        </row>
        <row r="88">
          <cell r="AH88">
            <v>1</v>
          </cell>
        </row>
        <row r="89">
          <cell r="AD89">
            <v>51.1</v>
          </cell>
        </row>
        <row r="89">
          <cell r="AF89">
            <v>0.6</v>
          </cell>
        </row>
        <row r="89">
          <cell r="AH89">
            <v>2</v>
          </cell>
        </row>
        <row r="90">
          <cell r="AD90">
            <v>51.4</v>
          </cell>
        </row>
        <row r="90">
          <cell r="AF90">
            <v>0.7</v>
          </cell>
        </row>
        <row r="90">
          <cell r="AH90">
            <v>214</v>
          </cell>
        </row>
        <row r="91">
          <cell r="AD91">
            <v>51.2</v>
          </cell>
        </row>
        <row r="91">
          <cell r="AF91">
            <v>0.7</v>
          </cell>
        </row>
        <row r="91">
          <cell r="AH91">
            <v>11</v>
          </cell>
        </row>
        <row r="92">
          <cell r="AD92">
            <v>51.3</v>
          </cell>
        </row>
        <row r="92">
          <cell r="AF92">
            <v>0.7</v>
          </cell>
        </row>
        <row r="92">
          <cell r="AH92">
            <v>23</v>
          </cell>
        </row>
        <row r="93">
          <cell r="AD93">
            <v>51.5</v>
          </cell>
        </row>
        <row r="93">
          <cell r="AF93">
            <v>0.7</v>
          </cell>
        </row>
        <row r="93">
          <cell r="AH93">
            <v>0</v>
          </cell>
        </row>
        <row r="94">
          <cell r="AD94">
            <v>51.8</v>
          </cell>
        </row>
        <row r="94">
          <cell r="AF94">
            <v>0.7</v>
          </cell>
        </row>
        <row r="94">
          <cell r="AH94">
            <v>0</v>
          </cell>
        </row>
        <row r="95">
          <cell r="AD95">
            <v>51.8</v>
          </cell>
        </row>
        <row r="95">
          <cell r="AF95">
            <v>0.7</v>
          </cell>
        </row>
        <row r="95">
          <cell r="AH95">
            <v>0</v>
          </cell>
        </row>
        <row r="96">
          <cell r="AD96">
            <v>51.7</v>
          </cell>
        </row>
        <row r="96">
          <cell r="AF96">
            <v>0.7</v>
          </cell>
        </row>
        <row r="96">
          <cell r="AH96">
            <v>0</v>
          </cell>
        </row>
        <row r="97">
          <cell r="AD97">
            <v>51.6</v>
          </cell>
        </row>
        <row r="97">
          <cell r="AF97">
            <v>0.7</v>
          </cell>
        </row>
        <row r="97">
          <cell r="AH97">
            <v>0</v>
          </cell>
        </row>
        <row r="98">
          <cell r="AD98">
            <v>51.8</v>
          </cell>
        </row>
        <row r="98">
          <cell r="AF98">
            <v>0.7</v>
          </cell>
        </row>
        <row r="98">
          <cell r="AH98">
            <v>0</v>
          </cell>
        </row>
        <row r="99">
          <cell r="AD99">
            <v>51.6</v>
          </cell>
        </row>
        <row r="99">
          <cell r="AF99">
            <v>0.7</v>
          </cell>
        </row>
        <row r="99">
          <cell r="AH99">
            <v>3</v>
          </cell>
        </row>
        <row r="100">
          <cell r="AD100">
            <v>51.4</v>
          </cell>
        </row>
        <row r="100">
          <cell r="AF100">
            <v>0.6</v>
          </cell>
        </row>
        <row r="100">
          <cell r="AH100">
            <v>8</v>
          </cell>
        </row>
        <row r="101">
          <cell r="AD101">
            <v>51.5</v>
          </cell>
        </row>
        <row r="101">
          <cell r="AF101">
            <v>0.6</v>
          </cell>
        </row>
        <row r="101">
          <cell r="AH101">
            <v>11</v>
          </cell>
        </row>
        <row r="102">
          <cell r="AD102">
            <v>51.6</v>
          </cell>
        </row>
        <row r="102">
          <cell r="AF102">
            <v>0.7</v>
          </cell>
        </row>
        <row r="102">
          <cell r="AH102">
            <v>17</v>
          </cell>
        </row>
        <row r="103">
          <cell r="AD103">
            <v>51.7</v>
          </cell>
        </row>
        <row r="103">
          <cell r="AF103">
            <v>0.7</v>
          </cell>
        </row>
        <row r="103">
          <cell r="AH103">
            <v>25</v>
          </cell>
        </row>
        <row r="104">
          <cell r="AD104">
            <v>51.6</v>
          </cell>
        </row>
        <row r="104">
          <cell r="AF104">
            <v>0.7</v>
          </cell>
        </row>
        <row r="104">
          <cell r="AH104">
            <v>39</v>
          </cell>
        </row>
        <row r="105">
          <cell r="AD105">
            <v>51.7</v>
          </cell>
        </row>
        <row r="105">
          <cell r="AF105">
            <v>0.7</v>
          </cell>
        </row>
        <row r="105">
          <cell r="AH105">
            <v>0</v>
          </cell>
        </row>
        <row r="106">
          <cell r="AD106">
            <v>51.8</v>
          </cell>
        </row>
        <row r="106">
          <cell r="AF106">
            <v>0.6</v>
          </cell>
        </row>
        <row r="106">
          <cell r="AH106">
            <v>0</v>
          </cell>
        </row>
        <row r="107">
          <cell r="AD107">
            <v>51.5</v>
          </cell>
        </row>
        <row r="107">
          <cell r="AF107">
            <v>0.6</v>
          </cell>
        </row>
        <row r="107">
          <cell r="AH107">
            <v>0</v>
          </cell>
        </row>
        <row r="108">
          <cell r="AD108">
            <v>51.6</v>
          </cell>
        </row>
        <row r="108">
          <cell r="AF108">
            <v>0.7</v>
          </cell>
        </row>
        <row r="108">
          <cell r="AH108">
            <v>0</v>
          </cell>
        </row>
        <row r="109">
          <cell r="AD109">
            <v>51.7</v>
          </cell>
        </row>
        <row r="109">
          <cell r="AF109">
            <v>0.7</v>
          </cell>
        </row>
        <row r="109">
          <cell r="AH109">
            <v>0</v>
          </cell>
        </row>
        <row r="110">
          <cell r="AD110">
            <v>51.7</v>
          </cell>
        </row>
        <row r="110">
          <cell r="AF110">
            <v>0.7</v>
          </cell>
        </row>
        <row r="110">
          <cell r="AH110">
            <v>0</v>
          </cell>
        </row>
        <row r="111">
          <cell r="AD111">
            <v>51.3</v>
          </cell>
        </row>
        <row r="111">
          <cell r="AF111">
            <v>0.7</v>
          </cell>
        </row>
        <row r="111">
          <cell r="AH111">
            <v>0</v>
          </cell>
        </row>
        <row r="112">
          <cell r="AD112">
            <v>51.2</v>
          </cell>
        </row>
        <row r="112">
          <cell r="AF112">
            <v>0.7</v>
          </cell>
        </row>
        <row r="112">
          <cell r="AH112">
            <v>0</v>
          </cell>
        </row>
        <row r="113">
          <cell r="AD113">
            <v>51.1</v>
          </cell>
        </row>
        <row r="113">
          <cell r="AF113">
            <v>0.7</v>
          </cell>
        </row>
        <row r="113">
          <cell r="AH113">
            <v>0</v>
          </cell>
        </row>
        <row r="114">
          <cell r="AD114">
            <v>51.1</v>
          </cell>
        </row>
        <row r="114">
          <cell r="AF114">
            <v>0.7</v>
          </cell>
        </row>
        <row r="114">
          <cell r="AH114">
            <v>0</v>
          </cell>
        </row>
        <row r="115">
          <cell r="AD115">
            <v>51</v>
          </cell>
        </row>
        <row r="115">
          <cell r="AF115">
            <v>0.7</v>
          </cell>
        </row>
        <row r="115">
          <cell r="AH115">
            <v>0</v>
          </cell>
        </row>
        <row r="116">
          <cell r="AD116">
            <v>51.1</v>
          </cell>
        </row>
        <row r="116">
          <cell r="AF116">
            <v>0.7</v>
          </cell>
        </row>
        <row r="116">
          <cell r="AH116">
            <v>46</v>
          </cell>
        </row>
        <row r="117">
          <cell r="AD117">
            <v>50.9</v>
          </cell>
        </row>
        <row r="117">
          <cell r="AF117">
            <v>0.7</v>
          </cell>
        </row>
        <row r="117">
          <cell r="AH117">
            <v>0</v>
          </cell>
        </row>
        <row r="118">
          <cell r="AD118">
            <v>51.2</v>
          </cell>
        </row>
        <row r="118">
          <cell r="AF118">
            <v>0.6</v>
          </cell>
        </row>
        <row r="118">
          <cell r="AH118">
            <v>0</v>
          </cell>
        </row>
        <row r="119">
          <cell r="AD119">
            <v>51.2</v>
          </cell>
        </row>
        <row r="119">
          <cell r="AF119">
            <v>0.7</v>
          </cell>
        </row>
        <row r="119">
          <cell r="AH119">
            <v>0</v>
          </cell>
        </row>
        <row r="120">
          <cell r="AD120">
            <v>51.1</v>
          </cell>
        </row>
        <row r="120">
          <cell r="AF120">
            <v>0.6</v>
          </cell>
        </row>
        <row r="120">
          <cell r="AH120">
            <v>0</v>
          </cell>
        </row>
        <row r="121">
          <cell r="AD121">
            <v>51.3</v>
          </cell>
        </row>
        <row r="121">
          <cell r="AF121">
            <v>0.6</v>
          </cell>
        </row>
        <row r="121">
          <cell r="AH121">
            <v>0</v>
          </cell>
        </row>
        <row r="122">
          <cell r="AD122">
            <v>51.1</v>
          </cell>
        </row>
        <row r="122">
          <cell r="AF122">
            <v>0.6</v>
          </cell>
        </row>
        <row r="122">
          <cell r="AH122">
            <v>0</v>
          </cell>
        </row>
        <row r="123">
          <cell r="AD123">
            <v>51.1</v>
          </cell>
        </row>
        <row r="123">
          <cell r="AF123">
            <v>0.6</v>
          </cell>
        </row>
        <row r="123">
          <cell r="AH123">
            <v>0</v>
          </cell>
        </row>
        <row r="124">
          <cell r="AD124">
            <v>51.2</v>
          </cell>
        </row>
        <row r="124">
          <cell r="AF124">
            <v>0.6</v>
          </cell>
        </row>
        <row r="124">
          <cell r="AH124">
            <v>0</v>
          </cell>
        </row>
        <row r="125">
          <cell r="AD125">
            <v>51.3</v>
          </cell>
        </row>
        <row r="125">
          <cell r="AF125">
            <v>0.6</v>
          </cell>
        </row>
        <row r="125">
          <cell r="AH125">
            <v>0</v>
          </cell>
        </row>
        <row r="126">
          <cell r="AD126">
            <v>51.5</v>
          </cell>
        </row>
        <row r="126">
          <cell r="AF126">
            <v>0.5</v>
          </cell>
        </row>
        <row r="126">
          <cell r="AH126">
            <v>0</v>
          </cell>
        </row>
        <row r="127">
          <cell r="AD127">
            <v>51.5</v>
          </cell>
        </row>
        <row r="127">
          <cell r="AF127">
            <v>0.5</v>
          </cell>
        </row>
        <row r="127">
          <cell r="AH127">
            <v>0</v>
          </cell>
        </row>
        <row r="128">
          <cell r="AD128">
            <v>51.3</v>
          </cell>
        </row>
        <row r="128">
          <cell r="AF128">
            <v>0.6</v>
          </cell>
        </row>
        <row r="128">
          <cell r="AH128">
            <v>0</v>
          </cell>
        </row>
        <row r="129">
          <cell r="AD129">
            <v>51.1</v>
          </cell>
        </row>
        <row r="129">
          <cell r="AF129">
            <v>0.6</v>
          </cell>
        </row>
        <row r="129">
          <cell r="AH129">
            <v>0</v>
          </cell>
        </row>
        <row r="130">
          <cell r="AD130">
            <v>51.2</v>
          </cell>
        </row>
        <row r="130">
          <cell r="AF130">
            <v>0.6</v>
          </cell>
        </row>
        <row r="130">
          <cell r="AH130">
            <v>0</v>
          </cell>
        </row>
        <row r="131">
          <cell r="AD131">
            <v>50.9</v>
          </cell>
        </row>
        <row r="131">
          <cell r="AF131">
            <v>0.6</v>
          </cell>
        </row>
        <row r="131">
          <cell r="AH131">
            <v>0</v>
          </cell>
        </row>
        <row r="132">
          <cell r="AD132">
            <v>50.9</v>
          </cell>
        </row>
        <row r="132">
          <cell r="AF132">
            <v>0.5</v>
          </cell>
        </row>
        <row r="132">
          <cell r="AH132">
            <v>1</v>
          </cell>
        </row>
        <row r="133">
          <cell r="AD133">
            <v>51.1</v>
          </cell>
        </row>
        <row r="133">
          <cell r="AF133">
            <v>0.6</v>
          </cell>
        </row>
        <row r="133">
          <cell r="AH133">
            <v>0</v>
          </cell>
        </row>
        <row r="134">
          <cell r="AD134">
            <v>51</v>
          </cell>
        </row>
        <row r="134">
          <cell r="AF134">
            <v>0.5</v>
          </cell>
        </row>
        <row r="134">
          <cell r="AH134">
            <v>0</v>
          </cell>
        </row>
        <row r="135">
          <cell r="AD135">
            <v>51</v>
          </cell>
        </row>
        <row r="135">
          <cell r="AF135">
            <v>0.6</v>
          </cell>
        </row>
        <row r="135">
          <cell r="AH135">
            <v>1</v>
          </cell>
        </row>
        <row r="136">
          <cell r="AD136">
            <v>50.7</v>
          </cell>
        </row>
        <row r="136">
          <cell r="AF136">
            <v>0.8</v>
          </cell>
        </row>
        <row r="136">
          <cell r="AH136">
            <v>0</v>
          </cell>
        </row>
        <row r="137">
          <cell r="AD137">
            <v>50.2</v>
          </cell>
        </row>
        <row r="137">
          <cell r="AF137">
            <v>0.6</v>
          </cell>
        </row>
        <row r="137">
          <cell r="AH137">
            <v>1</v>
          </cell>
        </row>
        <row r="138">
          <cell r="AD138">
            <v>50.1</v>
          </cell>
        </row>
        <row r="138">
          <cell r="AF138">
            <v>0.5</v>
          </cell>
        </row>
        <row r="138">
          <cell r="AH138">
            <v>2</v>
          </cell>
        </row>
        <row r="139">
          <cell r="AD139">
            <v>50.5</v>
          </cell>
        </row>
        <row r="139">
          <cell r="AF139">
            <v>0.6</v>
          </cell>
        </row>
        <row r="139">
          <cell r="AH139">
            <v>2</v>
          </cell>
        </row>
        <row r="140">
          <cell r="AD140">
            <v>50.9</v>
          </cell>
        </row>
        <row r="140">
          <cell r="AF140">
            <v>0.6</v>
          </cell>
        </row>
        <row r="140">
          <cell r="AH140">
            <v>1</v>
          </cell>
        </row>
        <row r="141">
          <cell r="AD141">
            <v>50.8</v>
          </cell>
        </row>
        <row r="141">
          <cell r="AF141">
            <v>0.6</v>
          </cell>
        </row>
        <row r="141">
          <cell r="AH141">
            <v>2</v>
          </cell>
        </row>
        <row r="142">
          <cell r="AD142">
            <v>50.7</v>
          </cell>
        </row>
        <row r="142">
          <cell r="AF142">
            <v>0.6</v>
          </cell>
        </row>
        <row r="142">
          <cell r="AH142">
            <v>6</v>
          </cell>
        </row>
        <row r="143">
          <cell r="AD143">
            <v>50.8</v>
          </cell>
        </row>
        <row r="143">
          <cell r="AF143">
            <v>0.6</v>
          </cell>
        </row>
        <row r="143">
          <cell r="AH143">
            <v>46</v>
          </cell>
        </row>
        <row r="144">
          <cell r="AD144">
            <v>50.6</v>
          </cell>
        </row>
        <row r="144">
          <cell r="AF144">
            <v>0.6</v>
          </cell>
        </row>
        <row r="144">
          <cell r="AH144">
            <v>15</v>
          </cell>
        </row>
        <row r="145">
          <cell r="AD145">
            <v>50.6</v>
          </cell>
        </row>
        <row r="145">
          <cell r="AF145">
            <v>0.6</v>
          </cell>
        </row>
        <row r="145">
          <cell r="AH145">
            <v>6</v>
          </cell>
        </row>
        <row r="146">
          <cell r="AD146">
            <v>50.6</v>
          </cell>
        </row>
        <row r="146">
          <cell r="AF146">
            <v>0.6</v>
          </cell>
        </row>
        <row r="146">
          <cell r="AH146">
            <v>8</v>
          </cell>
        </row>
        <row r="147">
          <cell r="AD147">
            <v>50.8</v>
          </cell>
        </row>
        <row r="147">
          <cell r="AF147">
            <v>0.6</v>
          </cell>
        </row>
        <row r="147">
          <cell r="AH147">
            <v>7</v>
          </cell>
        </row>
        <row r="148">
          <cell r="AD148">
            <v>50.7</v>
          </cell>
        </row>
        <row r="148">
          <cell r="AF148">
            <v>0.6</v>
          </cell>
        </row>
        <row r="148">
          <cell r="AH148">
            <v>15</v>
          </cell>
        </row>
        <row r="149">
          <cell r="AD149">
            <v>50.6</v>
          </cell>
        </row>
        <row r="149">
          <cell r="AF149">
            <v>0.6</v>
          </cell>
        </row>
        <row r="149">
          <cell r="AH149">
            <v>0</v>
          </cell>
        </row>
        <row r="150">
          <cell r="AD150">
            <v>50.5</v>
          </cell>
        </row>
        <row r="150">
          <cell r="AF150">
            <v>0.5</v>
          </cell>
        </row>
        <row r="150">
          <cell r="AH150">
            <v>0</v>
          </cell>
        </row>
        <row r="169">
          <cell r="AD169">
            <v>50.2</v>
          </cell>
        </row>
        <row r="169">
          <cell r="AF169">
            <v>0.5</v>
          </cell>
        </row>
        <row r="169">
          <cell r="AH169">
            <v>0</v>
          </cell>
        </row>
        <row r="170">
          <cell r="AD170">
            <v>50.6</v>
          </cell>
        </row>
        <row r="170">
          <cell r="AF170">
            <v>0.6</v>
          </cell>
        </row>
        <row r="170">
          <cell r="AH170">
            <v>0</v>
          </cell>
        </row>
        <row r="171">
          <cell r="AD171">
            <v>50.7</v>
          </cell>
        </row>
        <row r="171">
          <cell r="AF171">
            <v>0.6</v>
          </cell>
        </row>
        <row r="171">
          <cell r="AH171">
            <v>0</v>
          </cell>
        </row>
        <row r="172">
          <cell r="AD172">
            <v>50.7</v>
          </cell>
        </row>
        <row r="172">
          <cell r="AF172">
            <v>0.5</v>
          </cell>
        </row>
        <row r="172">
          <cell r="AH172">
            <v>0</v>
          </cell>
        </row>
        <row r="173">
          <cell r="AD173">
            <v>50.3</v>
          </cell>
        </row>
        <row r="173">
          <cell r="AF173">
            <v>0.5</v>
          </cell>
        </row>
        <row r="173">
          <cell r="AH173">
            <v>0</v>
          </cell>
        </row>
        <row r="174">
          <cell r="AD174">
            <v>50.7</v>
          </cell>
        </row>
        <row r="174">
          <cell r="AF174">
            <v>0.5</v>
          </cell>
        </row>
        <row r="174">
          <cell r="AH174">
            <v>0</v>
          </cell>
        </row>
        <row r="175">
          <cell r="AD175">
            <v>50.7</v>
          </cell>
        </row>
        <row r="175">
          <cell r="AF175">
            <v>0.5</v>
          </cell>
        </row>
        <row r="175">
          <cell r="AH175">
            <v>0</v>
          </cell>
        </row>
        <row r="176">
          <cell r="AD176">
            <v>50.3</v>
          </cell>
        </row>
        <row r="176">
          <cell r="AF176">
            <v>0.5</v>
          </cell>
        </row>
        <row r="176">
          <cell r="AH176">
            <v>0</v>
          </cell>
        </row>
        <row r="177">
          <cell r="AD177">
            <v>50.5</v>
          </cell>
        </row>
        <row r="177">
          <cell r="AF177">
            <v>0.5</v>
          </cell>
        </row>
        <row r="177">
          <cell r="AH177">
            <v>0</v>
          </cell>
        </row>
        <row r="178">
          <cell r="AD178">
            <v>50.5</v>
          </cell>
        </row>
        <row r="178">
          <cell r="AF178">
            <v>0.5</v>
          </cell>
        </row>
        <row r="178">
          <cell r="AH178">
            <v>0</v>
          </cell>
        </row>
        <row r="179">
          <cell r="AD179">
            <v>50.6</v>
          </cell>
        </row>
        <row r="179">
          <cell r="AF179">
            <v>0.5</v>
          </cell>
        </row>
        <row r="179">
          <cell r="AH179">
            <v>0</v>
          </cell>
        </row>
        <row r="180">
          <cell r="AD180">
            <v>50.6</v>
          </cell>
        </row>
        <row r="180">
          <cell r="AF180">
            <v>0.6</v>
          </cell>
        </row>
        <row r="180">
          <cell r="AH180">
            <v>0</v>
          </cell>
        </row>
        <row r="181">
          <cell r="AD181">
            <v>50.1</v>
          </cell>
        </row>
        <row r="181">
          <cell r="AF181">
            <v>0.5</v>
          </cell>
        </row>
        <row r="181">
          <cell r="AH181">
            <v>0</v>
          </cell>
        </row>
        <row r="182">
          <cell r="AD182">
            <v>50.6</v>
          </cell>
        </row>
        <row r="182">
          <cell r="AF182">
            <v>0.5</v>
          </cell>
        </row>
        <row r="182">
          <cell r="AH182">
            <v>0</v>
          </cell>
        </row>
        <row r="183">
          <cell r="AD183">
            <v>50.4</v>
          </cell>
        </row>
        <row r="183">
          <cell r="AF183">
            <v>0.5</v>
          </cell>
        </row>
        <row r="183">
          <cell r="AH183">
            <v>0</v>
          </cell>
        </row>
        <row r="184">
          <cell r="AD184">
            <v>50.7</v>
          </cell>
        </row>
        <row r="184">
          <cell r="AF184">
            <v>0.5</v>
          </cell>
        </row>
        <row r="184">
          <cell r="AH184">
            <v>0</v>
          </cell>
        </row>
        <row r="185">
          <cell r="AD185">
            <v>50.4</v>
          </cell>
        </row>
        <row r="185">
          <cell r="AF185">
            <v>0.5</v>
          </cell>
        </row>
        <row r="185">
          <cell r="AH185">
            <v>0</v>
          </cell>
        </row>
        <row r="186">
          <cell r="AD186">
            <v>50.6</v>
          </cell>
        </row>
        <row r="186">
          <cell r="AF186">
            <v>0.5</v>
          </cell>
        </row>
        <row r="186">
          <cell r="AH186">
            <v>0</v>
          </cell>
        </row>
        <row r="187">
          <cell r="AD187">
            <v>50.6</v>
          </cell>
        </row>
        <row r="187">
          <cell r="AF187">
            <v>0.6</v>
          </cell>
        </row>
        <row r="187">
          <cell r="AH187">
            <v>0</v>
          </cell>
        </row>
        <row r="188">
          <cell r="AD188">
            <v>50.6</v>
          </cell>
        </row>
        <row r="188">
          <cell r="AF188">
            <v>0.5</v>
          </cell>
        </row>
        <row r="188">
          <cell r="AH188">
            <v>0</v>
          </cell>
        </row>
        <row r="189">
          <cell r="AD189">
            <v>50.7</v>
          </cell>
        </row>
        <row r="189">
          <cell r="AF189">
            <v>0.5</v>
          </cell>
        </row>
        <row r="189">
          <cell r="AH189">
            <v>0</v>
          </cell>
        </row>
        <row r="190">
          <cell r="AD190">
            <v>50.4</v>
          </cell>
        </row>
        <row r="190">
          <cell r="AF190">
            <v>0.5</v>
          </cell>
        </row>
        <row r="190">
          <cell r="AH190">
            <v>0</v>
          </cell>
        </row>
        <row r="191">
          <cell r="AD191">
            <v>50.6</v>
          </cell>
        </row>
        <row r="191">
          <cell r="AF191">
            <v>0.5</v>
          </cell>
        </row>
        <row r="191">
          <cell r="AH191">
            <v>0</v>
          </cell>
        </row>
        <row r="192">
          <cell r="AD192">
            <v>50.5</v>
          </cell>
        </row>
        <row r="192">
          <cell r="AF192">
            <v>0.5</v>
          </cell>
        </row>
        <row r="192">
          <cell r="AH192">
            <v>0</v>
          </cell>
        </row>
        <row r="193">
          <cell r="AD193">
            <v>50.5</v>
          </cell>
        </row>
        <row r="193">
          <cell r="AF193">
            <v>0.5</v>
          </cell>
        </row>
        <row r="193">
          <cell r="AH193">
            <v>0</v>
          </cell>
        </row>
        <row r="194">
          <cell r="AD194">
            <v>50.8</v>
          </cell>
        </row>
        <row r="194">
          <cell r="AF194">
            <v>0.5</v>
          </cell>
        </row>
        <row r="194">
          <cell r="AH194">
            <v>0</v>
          </cell>
        </row>
        <row r="195">
          <cell r="AD195">
            <v>50.7</v>
          </cell>
        </row>
        <row r="195">
          <cell r="AF195">
            <v>0.5</v>
          </cell>
        </row>
        <row r="195">
          <cell r="AH195">
            <v>0</v>
          </cell>
        </row>
        <row r="197">
          <cell r="AD197">
            <v>50.6</v>
          </cell>
        </row>
        <row r="197">
          <cell r="AF197">
            <v>0.6</v>
          </cell>
        </row>
        <row r="197">
          <cell r="AH197">
            <v>0</v>
          </cell>
        </row>
        <row r="198">
          <cell r="AD198">
            <v>50.4</v>
          </cell>
        </row>
        <row r="198">
          <cell r="AF198">
            <v>0.5</v>
          </cell>
        </row>
        <row r="198">
          <cell r="AH198">
            <v>0</v>
          </cell>
        </row>
        <row r="199">
          <cell r="AD199">
            <v>50.8</v>
          </cell>
        </row>
        <row r="199">
          <cell r="AF199">
            <v>0.6</v>
          </cell>
        </row>
        <row r="199">
          <cell r="AH199">
            <v>0</v>
          </cell>
        </row>
        <row r="200">
          <cell r="AD200">
            <v>51</v>
          </cell>
        </row>
        <row r="200">
          <cell r="AF200">
            <v>0.6</v>
          </cell>
        </row>
        <row r="200">
          <cell r="AH200">
            <v>0</v>
          </cell>
        </row>
        <row r="201">
          <cell r="AD201">
            <v>50.4</v>
          </cell>
        </row>
        <row r="201">
          <cell r="AF201">
            <v>0.5</v>
          </cell>
        </row>
        <row r="201">
          <cell r="AH201">
            <v>0</v>
          </cell>
        </row>
        <row r="202">
          <cell r="AD202">
            <v>50.4</v>
          </cell>
        </row>
        <row r="202">
          <cell r="AF202">
            <v>0.5</v>
          </cell>
        </row>
        <row r="202">
          <cell r="AH202">
            <v>0</v>
          </cell>
        </row>
        <row r="203">
          <cell r="AD203">
            <v>50.3</v>
          </cell>
        </row>
        <row r="203">
          <cell r="AF203">
            <v>0.5</v>
          </cell>
        </row>
        <row r="203">
          <cell r="AH203">
            <v>0</v>
          </cell>
        </row>
        <row r="204">
          <cell r="AD204">
            <v>50.1</v>
          </cell>
        </row>
        <row r="204">
          <cell r="AF204">
            <v>0.6</v>
          </cell>
        </row>
        <row r="204">
          <cell r="AH204">
            <v>0</v>
          </cell>
        </row>
        <row r="205">
          <cell r="AD205">
            <v>50.1</v>
          </cell>
        </row>
        <row r="205">
          <cell r="AF205">
            <v>0.5</v>
          </cell>
        </row>
        <row r="205">
          <cell r="AH205">
            <v>0</v>
          </cell>
        </row>
        <row r="206">
          <cell r="AD206">
            <v>50.5</v>
          </cell>
        </row>
        <row r="206">
          <cell r="AF206">
            <v>0.5</v>
          </cell>
        </row>
        <row r="206">
          <cell r="AH206">
            <v>0</v>
          </cell>
        </row>
        <row r="207">
          <cell r="AD207">
            <v>50.6</v>
          </cell>
        </row>
        <row r="207">
          <cell r="AF207">
            <v>0.5</v>
          </cell>
        </row>
        <row r="207">
          <cell r="AH207">
            <v>0</v>
          </cell>
        </row>
        <row r="208">
          <cell r="AD208">
            <v>50.3</v>
          </cell>
        </row>
        <row r="208">
          <cell r="AF208">
            <v>0.5</v>
          </cell>
        </row>
        <row r="208">
          <cell r="AH208">
            <v>0</v>
          </cell>
        </row>
        <row r="209">
          <cell r="AD209">
            <v>50.6</v>
          </cell>
        </row>
        <row r="209">
          <cell r="AF209">
            <v>0.5</v>
          </cell>
        </row>
        <row r="209">
          <cell r="AH209">
            <v>0</v>
          </cell>
        </row>
        <row r="210">
          <cell r="AD210">
            <v>50.6</v>
          </cell>
        </row>
        <row r="210">
          <cell r="AF210">
            <v>0.4</v>
          </cell>
        </row>
        <row r="210">
          <cell r="AH210">
            <v>0</v>
          </cell>
        </row>
        <row r="211">
          <cell r="AD211">
            <v>50.7</v>
          </cell>
        </row>
        <row r="211">
          <cell r="AF211">
            <v>0.5</v>
          </cell>
        </row>
        <row r="211">
          <cell r="AH211">
            <v>0</v>
          </cell>
        </row>
        <row r="212">
          <cell r="AD212">
            <v>50.8</v>
          </cell>
        </row>
        <row r="212">
          <cell r="AF212">
            <v>0.6</v>
          </cell>
        </row>
        <row r="212">
          <cell r="AH212">
            <v>0</v>
          </cell>
        </row>
        <row r="213">
          <cell r="AD213">
            <v>50.3</v>
          </cell>
        </row>
        <row r="213">
          <cell r="AF213">
            <v>0.6</v>
          </cell>
        </row>
        <row r="213">
          <cell r="AH213">
            <v>1</v>
          </cell>
        </row>
        <row r="214">
          <cell r="AD214">
            <v>50.6</v>
          </cell>
        </row>
        <row r="214">
          <cell r="AF214">
            <v>0.6</v>
          </cell>
        </row>
        <row r="214">
          <cell r="AH214">
            <v>5</v>
          </cell>
        </row>
        <row r="276">
          <cell r="AD276">
            <v>50.1</v>
          </cell>
        </row>
        <row r="276">
          <cell r="AF276">
            <v>0.9</v>
          </cell>
        </row>
        <row r="276">
          <cell r="AH276">
            <v>0</v>
          </cell>
        </row>
        <row r="277">
          <cell r="AD277">
            <v>50</v>
          </cell>
        </row>
        <row r="277">
          <cell r="AF277">
            <v>0.6</v>
          </cell>
        </row>
        <row r="277">
          <cell r="AH277">
            <v>14</v>
          </cell>
        </row>
        <row r="278">
          <cell r="AD278">
            <v>50.2</v>
          </cell>
        </row>
        <row r="278">
          <cell r="AF278">
            <v>0.5</v>
          </cell>
        </row>
        <row r="278">
          <cell r="AH278">
            <v>1</v>
          </cell>
        </row>
        <row r="279">
          <cell r="AD279">
            <v>50.1</v>
          </cell>
        </row>
        <row r="279">
          <cell r="AF279">
            <v>0.4</v>
          </cell>
        </row>
        <row r="279">
          <cell r="AH279">
            <v>0</v>
          </cell>
        </row>
        <row r="280">
          <cell r="AD280">
            <v>50</v>
          </cell>
        </row>
        <row r="280">
          <cell r="AF280">
            <v>0.4</v>
          </cell>
        </row>
        <row r="280">
          <cell r="AH280">
            <v>0</v>
          </cell>
        </row>
        <row r="281">
          <cell r="AD281">
            <v>50.1</v>
          </cell>
        </row>
        <row r="281">
          <cell r="AF281">
            <v>0.4</v>
          </cell>
        </row>
        <row r="281">
          <cell r="AH281">
            <v>0</v>
          </cell>
        </row>
        <row r="282">
          <cell r="AD282">
            <v>50.2</v>
          </cell>
        </row>
        <row r="282">
          <cell r="AF282">
            <v>0.3</v>
          </cell>
        </row>
        <row r="282">
          <cell r="AH282">
            <v>0</v>
          </cell>
        </row>
        <row r="283">
          <cell r="AD283">
            <v>50.3</v>
          </cell>
        </row>
        <row r="283">
          <cell r="AF283">
            <v>0.3</v>
          </cell>
        </row>
        <row r="283">
          <cell r="AH283">
            <v>0</v>
          </cell>
        </row>
        <row r="284">
          <cell r="AD284">
            <v>50.6</v>
          </cell>
        </row>
        <row r="284">
          <cell r="AF284">
            <v>0.4</v>
          </cell>
        </row>
        <row r="284">
          <cell r="AH284">
            <v>0</v>
          </cell>
        </row>
        <row r="285">
          <cell r="AD285">
            <v>50.3</v>
          </cell>
        </row>
        <row r="285">
          <cell r="AF285">
            <v>0.4</v>
          </cell>
        </row>
        <row r="285">
          <cell r="AH285">
            <v>1</v>
          </cell>
        </row>
        <row r="286">
          <cell r="AD286">
            <v>50</v>
          </cell>
        </row>
        <row r="286">
          <cell r="AF286">
            <v>0.4</v>
          </cell>
        </row>
        <row r="286">
          <cell r="AH286">
            <v>1</v>
          </cell>
        </row>
        <row r="287">
          <cell r="AD287">
            <v>50.1</v>
          </cell>
        </row>
        <row r="287">
          <cell r="AF287">
            <v>0.4</v>
          </cell>
        </row>
        <row r="287">
          <cell r="AH287">
            <v>1</v>
          </cell>
        </row>
        <row r="288">
          <cell r="AD288">
            <v>50.2</v>
          </cell>
        </row>
        <row r="288">
          <cell r="AF288">
            <v>0.4</v>
          </cell>
        </row>
        <row r="288">
          <cell r="AH288">
            <v>1</v>
          </cell>
        </row>
        <row r="289">
          <cell r="AD289">
            <v>50.3</v>
          </cell>
        </row>
        <row r="289">
          <cell r="AF289">
            <v>0.5</v>
          </cell>
        </row>
        <row r="289">
          <cell r="AH289">
            <v>1</v>
          </cell>
        </row>
        <row r="290">
          <cell r="AD290">
            <v>50.1</v>
          </cell>
        </row>
        <row r="290">
          <cell r="AF290">
            <v>0.4</v>
          </cell>
        </row>
        <row r="290">
          <cell r="AH290">
            <v>1</v>
          </cell>
        </row>
        <row r="291">
          <cell r="AD291">
            <v>50.1</v>
          </cell>
        </row>
        <row r="291">
          <cell r="AF291">
            <v>0.5</v>
          </cell>
        </row>
        <row r="291">
          <cell r="AH291">
            <v>1</v>
          </cell>
        </row>
        <row r="292">
          <cell r="AD292">
            <v>50.1</v>
          </cell>
        </row>
        <row r="292">
          <cell r="AF292">
            <v>0.5</v>
          </cell>
        </row>
        <row r="292">
          <cell r="AH292">
            <v>1</v>
          </cell>
        </row>
        <row r="293">
          <cell r="AD293">
            <v>49.7</v>
          </cell>
        </row>
        <row r="293">
          <cell r="AF293">
            <v>0.5</v>
          </cell>
        </row>
        <row r="293">
          <cell r="AH293">
            <v>1</v>
          </cell>
        </row>
        <row r="294">
          <cell r="AD294">
            <v>49.8</v>
          </cell>
        </row>
        <row r="294">
          <cell r="AF294">
            <v>0.6</v>
          </cell>
        </row>
        <row r="294">
          <cell r="AH294">
            <v>1</v>
          </cell>
        </row>
        <row r="295">
          <cell r="AD295">
            <v>49.6</v>
          </cell>
        </row>
        <row r="295">
          <cell r="AF295">
            <v>0.5</v>
          </cell>
        </row>
        <row r="295">
          <cell r="AH295">
            <v>1</v>
          </cell>
        </row>
        <row r="296">
          <cell r="AD296">
            <v>49.5</v>
          </cell>
        </row>
        <row r="296">
          <cell r="AF296">
            <v>0.6</v>
          </cell>
        </row>
        <row r="296">
          <cell r="AH296">
            <v>1</v>
          </cell>
        </row>
        <row r="297">
          <cell r="AD297">
            <v>49.6</v>
          </cell>
        </row>
        <row r="297">
          <cell r="AF297">
            <v>0.6</v>
          </cell>
        </row>
        <row r="297">
          <cell r="AH297">
            <v>1</v>
          </cell>
        </row>
        <row r="298">
          <cell r="AD298">
            <v>49.9</v>
          </cell>
        </row>
        <row r="298">
          <cell r="AF298">
            <v>0.4</v>
          </cell>
        </row>
        <row r="298">
          <cell r="AH298">
            <v>1</v>
          </cell>
        </row>
        <row r="299">
          <cell r="AD299">
            <v>50.2</v>
          </cell>
        </row>
        <row r="299">
          <cell r="AF299">
            <v>0.3</v>
          </cell>
        </row>
        <row r="299">
          <cell r="AH299">
            <v>1</v>
          </cell>
        </row>
        <row r="300">
          <cell r="AD300">
            <v>50.3</v>
          </cell>
        </row>
        <row r="300">
          <cell r="AF300">
            <v>0.4</v>
          </cell>
        </row>
        <row r="300">
          <cell r="AH300">
            <v>1</v>
          </cell>
        </row>
        <row r="301">
          <cell r="AD301">
            <v>49.9</v>
          </cell>
        </row>
        <row r="301">
          <cell r="AF301">
            <v>0.5</v>
          </cell>
        </row>
        <row r="301">
          <cell r="AH301">
            <v>2</v>
          </cell>
        </row>
        <row r="302">
          <cell r="AD302">
            <v>49.9</v>
          </cell>
        </row>
        <row r="302">
          <cell r="AF302">
            <v>0.4</v>
          </cell>
        </row>
        <row r="302">
          <cell r="AH302">
            <v>3</v>
          </cell>
        </row>
        <row r="303">
          <cell r="AD303">
            <v>50</v>
          </cell>
        </row>
        <row r="303">
          <cell r="AF303">
            <v>0.4</v>
          </cell>
        </row>
        <row r="303">
          <cell r="AH303">
            <v>3</v>
          </cell>
        </row>
        <row r="304">
          <cell r="AD304">
            <v>50.1</v>
          </cell>
        </row>
        <row r="304">
          <cell r="AF304">
            <v>0.4</v>
          </cell>
        </row>
        <row r="304">
          <cell r="AH304">
            <v>2</v>
          </cell>
        </row>
        <row r="305">
          <cell r="AD305">
            <v>50.2</v>
          </cell>
        </row>
        <row r="305">
          <cell r="AF305">
            <v>0.4</v>
          </cell>
        </row>
        <row r="305">
          <cell r="AH305">
            <v>3</v>
          </cell>
        </row>
        <row r="306">
          <cell r="AD306">
            <v>50.3</v>
          </cell>
        </row>
        <row r="306">
          <cell r="AF306">
            <v>0.4</v>
          </cell>
        </row>
        <row r="306">
          <cell r="AH306">
            <v>6</v>
          </cell>
        </row>
        <row r="307">
          <cell r="AD307">
            <v>50.3</v>
          </cell>
        </row>
        <row r="307">
          <cell r="AF307">
            <v>0.4</v>
          </cell>
        </row>
        <row r="307">
          <cell r="AH307">
            <v>6</v>
          </cell>
        </row>
        <row r="308">
          <cell r="AD308">
            <v>50.2</v>
          </cell>
        </row>
        <row r="308">
          <cell r="AF308">
            <v>0.4</v>
          </cell>
        </row>
        <row r="308">
          <cell r="AH308">
            <v>6</v>
          </cell>
        </row>
        <row r="309">
          <cell r="AD309">
            <v>50.5</v>
          </cell>
        </row>
        <row r="309">
          <cell r="AF309">
            <v>0.4</v>
          </cell>
        </row>
        <row r="309">
          <cell r="AH309">
            <v>3</v>
          </cell>
        </row>
        <row r="310">
          <cell r="AD310">
            <v>50.7</v>
          </cell>
        </row>
        <row r="310">
          <cell r="AF310">
            <v>0.5</v>
          </cell>
        </row>
        <row r="310">
          <cell r="AH310">
            <v>3</v>
          </cell>
        </row>
        <row r="311">
          <cell r="AD311">
            <v>50.6</v>
          </cell>
        </row>
        <row r="311">
          <cell r="AF311">
            <v>0.4</v>
          </cell>
        </row>
        <row r="311">
          <cell r="AH311">
            <v>3</v>
          </cell>
        </row>
        <row r="312">
          <cell r="AD312">
            <v>51</v>
          </cell>
        </row>
        <row r="312">
          <cell r="AF312">
            <v>0.4</v>
          </cell>
        </row>
        <row r="312">
          <cell r="AH312">
            <v>3</v>
          </cell>
        </row>
        <row r="313">
          <cell r="AD313">
            <v>50.7</v>
          </cell>
        </row>
        <row r="313">
          <cell r="AF313">
            <v>0.5</v>
          </cell>
        </row>
        <row r="313">
          <cell r="AH313">
            <v>5</v>
          </cell>
        </row>
        <row r="314">
          <cell r="AD314">
            <v>50.8</v>
          </cell>
        </row>
        <row r="314">
          <cell r="AF314">
            <v>0.5</v>
          </cell>
        </row>
        <row r="314">
          <cell r="AH314">
            <v>1</v>
          </cell>
        </row>
        <row r="315">
          <cell r="AD315">
            <v>50.7</v>
          </cell>
        </row>
        <row r="315">
          <cell r="AF315">
            <v>0.5</v>
          </cell>
        </row>
        <row r="315">
          <cell r="AH315">
            <v>1</v>
          </cell>
        </row>
        <row r="316">
          <cell r="AD316">
            <v>50.8</v>
          </cell>
        </row>
        <row r="316">
          <cell r="AF316">
            <v>0.5</v>
          </cell>
        </row>
        <row r="316">
          <cell r="AH316">
            <v>1</v>
          </cell>
        </row>
        <row r="317">
          <cell r="AD317">
            <v>50.7</v>
          </cell>
        </row>
        <row r="317">
          <cell r="AF317">
            <v>0.5</v>
          </cell>
        </row>
        <row r="317">
          <cell r="AH317">
            <v>1</v>
          </cell>
        </row>
        <row r="318">
          <cell r="AD318">
            <v>50.8</v>
          </cell>
        </row>
        <row r="318">
          <cell r="AF318">
            <v>0.5</v>
          </cell>
        </row>
        <row r="318">
          <cell r="AH318">
            <v>1</v>
          </cell>
        </row>
        <row r="319">
          <cell r="AD319">
            <v>50.8</v>
          </cell>
        </row>
        <row r="319">
          <cell r="AF319">
            <v>0.5</v>
          </cell>
        </row>
        <row r="319">
          <cell r="AH319">
            <v>1</v>
          </cell>
        </row>
        <row r="322">
          <cell r="AD322">
            <v>50.4</v>
          </cell>
        </row>
        <row r="322">
          <cell r="AF322">
            <v>0.6</v>
          </cell>
        </row>
        <row r="322">
          <cell r="AH322">
            <v>5</v>
          </cell>
        </row>
        <row r="323">
          <cell r="AD323">
            <v>50.6</v>
          </cell>
        </row>
        <row r="323">
          <cell r="AF323">
            <v>0.5</v>
          </cell>
        </row>
        <row r="323">
          <cell r="AH323">
            <v>6</v>
          </cell>
        </row>
        <row r="324">
          <cell r="AD324">
            <v>50.7</v>
          </cell>
        </row>
        <row r="324">
          <cell r="AF324">
            <v>0.5</v>
          </cell>
        </row>
        <row r="324">
          <cell r="AH324">
            <v>7</v>
          </cell>
        </row>
        <row r="325">
          <cell r="AD325">
            <v>51.1</v>
          </cell>
        </row>
        <row r="325">
          <cell r="AF325">
            <v>0.5</v>
          </cell>
        </row>
        <row r="325">
          <cell r="AH325">
            <v>12</v>
          </cell>
        </row>
        <row r="326">
          <cell r="AD326">
            <v>50.9</v>
          </cell>
        </row>
        <row r="326">
          <cell r="AF326">
            <v>0.5</v>
          </cell>
        </row>
        <row r="326">
          <cell r="AH326">
            <v>15</v>
          </cell>
        </row>
        <row r="327">
          <cell r="AD327">
            <v>50.9</v>
          </cell>
        </row>
        <row r="327">
          <cell r="AF327">
            <v>0.5</v>
          </cell>
        </row>
        <row r="327">
          <cell r="AH327">
            <v>21</v>
          </cell>
        </row>
        <row r="328">
          <cell r="AD328">
            <v>50.9</v>
          </cell>
        </row>
        <row r="328">
          <cell r="AF328">
            <v>0.5</v>
          </cell>
        </row>
        <row r="328">
          <cell r="AH328">
            <v>1</v>
          </cell>
        </row>
        <row r="329">
          <cell r="AD329">
            <v>50.9</v>
          </cell>
        </row>
        <row r="329">
          <cell r="AF329">
            <v>0.5</v>
          </cell>
        </row>
        <row r="329">
          <cell r="AH329">
            <v>0</v>
          </cell>
        </row>
        <row r="330">
          <cell r="AD330">
            <v>50.9</v>
          </cell>
        </row>
        <row r="330">
          <cell r="AF330">
            <v>0.5</v>
          </cell>
        </row>
        <row r="330">
          <cell r="AH330">
            <v>1</v>
          </cell>
        </row>
        <row r="331">
          <cell r="AD331">
            <v>50.8</v>
          </cell>
        </row>
        <row r="331">
          <cell r="AF331">
            <v>0.5</v>
          </cell>
        </row>
        <row r="331">
          <cell r="AH331">
            <v>0</v>
          </cell>
        </row>
        <row r="332">
          <cell r="AD332">
            <v>51</v>
          </cell>
        </row>
        <row r="332">
          <cell r="AF332">
            <v>0.5</v>
          </cell>
        </row>
        <row r="332">
          <cell r="AH332">
            <v>0</v>
          </cell>
        </row>
        <row r="333">
          <cell r="AD333">
            <v>50.8</v>
          </cell>
        </row>
        <row r="333">
          <cell r="AF333">
            <v>0.5</v>
          </cell>
        </row>
        <row r="333">
          <cell r="AH333">
            <v>0</v>
          </cell>
        </row>
        <row r="334">
          <cell r="AD334">
            <v>50.8</v>
          </cell>
        </row>
        <row r="334">
          <cell r="AF334">
            <v>0.5</v>
          </cell>
        </row>
        <row r="334">
          <cell r="AH334">
            <v>0</v>
          </cell>
        </row>
        <row r="335">
          <cell r="AD335">
            <v>50.8</v>
          </cell>
        </row>
        <row r="335">
          <cell r="AF335">
            <v>0.5</v>
          </cell>
        </row>
        <row r="335">
          <cell r="AH335">
            <v>0</v>
          </cell>
        </row>
        <row r="336">
          <cell r="AD336">
            <v>50.6</v>
          </cell>
        </row>
        <row r="336">
          <cell r="AF336">
            <v>0.6</v>
          </cell>
        </row>
        <row r="336">
          <cell r="AH336">
            <v>0</v>
          </cell>
        </row>
        <row r="337">
          <cell r="AD337">
            <v>50.5</v>
          </cell>
        </row>
        <row r="337">
          <cell r="AF337">
            <v>0.6</v>
          </cell>
        </row>
        <row r="337">
          <cell r="AH337">
            <v>0</v>
          </cell>
        </row>
        <row r="338">
          <cell r="AD338">
            <v>50.7</v>
          </cell>
        </row>
        <row r="338">
          <cell r="AF338">
            <v>0.5</v>
          </cell>
        </row>
        <row r="338">
          <cell r="AH338">
            <v>0</v>
          </cell>
        </row>
        <row r="339">
          <cell r="AD339">
            <v>50.8</v>
          </cell>
        </row>
        <row r="339">
          <cell r="AF339">
            <v>0.5</v>
          </cell>
        </row>
        <row r="339">
          <cell r="AH339">
            <v>0</v>
          </cell>
        </row>
        <row r="340">
          <cell r="AD340">
            <v>50.9</v>
          </cell>
        </row>
        <row r="340">
          <cell r="AF340">
            <v>0.5</v>
          </cell>
        </row>
        <row r="340">
          <cell r="AH340">
            <v>0</v>
          </cell>
        </row>
        <row r="342">
          <cell r="AD342">
            <v>51.1</v>
          </cell>
        </row>
        <row r="342">
          <cell r="AF342">
            <v>0.6</v>
          </cell>
        </row>
        <row r="342">
          <cell r="AH342">
            <v>0</v>
          </cell>
        </row>
        <row r="343">
          <cell r="AD343">
            <v>51.1</v>
          </cell>
        </row>
        <row r="343">
          <cell r="AF343">
            <v>0.6</v>
          </cell>
        </row>
        <row r="343">
          <cell r="AH343">
            <v>0</v>
          </cell>
        </row>
        <row r="344">
          <cell r="AD344">
            <v>50.8</v>
          </cell>
        </row>
        <row r="344">
          <cell r="AF344">
            <v>0.6</v>
          </cell>
        </row>
        <row r="344">
          <cell r="AH344">
            <v>0</v>
          </cell>
        </row>
        <row r="345">
          <cell r="AD345">
            <v>51.3</v>
          </cell>
        </row>
        <row r="345">
          <cell r="AF345">
            <v>0.5</v>
          </cell>
        </row>
        <row r="345">
          <cell r="AH345">
            <v>0</v>
          </cell>
        </row>
        <row r="346">
          <cell r="AD346">
            <v>51.1</v>
          </cell>
        </row>
        <row r="346">
          <cell r="AF346">
            <v>0.5</v>
          </cell>
        </row>
        <row r="346">
          <cell r="AH346">
            <v>0</v>
          </cell>
        </row>
        <row r="347">
          <cell r="AD347">
            <v>51</v>
          </cell>
        </row>
        <row r="347">
          <cell r="AF347">
            <v>0.5</v>
          </cell>
        </row>
        <row r="347">
          <cell r="AH347">
            <v>1</v>
          </cell>
        </row>
        <row r="351">
          <cell r="AD351">
            <v>50.8</v>
          </cell>
        </row>
        <row r="351">
          <cell r="AF351">
            <v>0.6</v>
          </cell>
        </row>
        <row r="351">
          <cell r="AH351">
            <v>3</v>
          </cell>
        </row>
        <row r="352">
          <cell r="AD352">
            <v>50.7</v>
          </cell>
        </row>
        <row r="352">
          <cell r="AF352">
            <v>0.5</v>
          </cell>
        </row>
        <row r="352">
          <cell r="AH352">
            <v>3</v>
          </cell>
        </row>
        <row r="353">
          <cell r="AD353">
            <v>50.4</v>
          </cell>
        </row>
        <row r="353">
          <cell r="AF353">
            <v>0.5</v>
          </cell>
        </row>
        <row r="353">
          <cell r="AH353">
            <v>6</v>
          </cell>
        </row>
        <row r="354">
          <cell r="AD354">
            <v>50.3</v>
          </cell>
        </row>
        <row r="354">
          <cell r="AF354">
            <v>0.5</v>
          </cell>
        </row>
        <row r="354">
          <cell r="AH354">
            <v>6</v>
          </cell>
        </row>
        <row r="355">
          <cell r="AD355">
            <v>50.8</v>
          </cell>
        </row>
        <row r="355">
          <cell r="AF355">
            <v>0.5</v>
          </cell>
        </row>
        <row r="355">
          <cell r="AH355">
            <v>7</v>
          </cell>
        </row>
        <row r="356">
          <cell r="AD356">
            <v>50.8</v>
          </cell>
        </row>
        <row r="356">
          <cell r="AF356">
            <v>0.6</v>
          </cell>
        </row>
        <row r="356">
          <cell r="AH356">
            <v>8</v>
          </cell>
        </row>
        <row r="357">
          <cell r="AD357">
            <v>51.3</v>
          </cell>
        </row>
        <row r="357">
          <cell r="AF357">
            <v>0.4</v>
          </cell>
        </row>
        <row r="357">
          <cell r="AH357">
            <v>9</v>
          </cell>
        </row>
        <row r="358">
          <cell r="AD358">
            <v>51</v>
          </cell>
        </row>
        <row r="358">
          <cell r="AF358">
            <v>0.5</v>
          </cell>
        </row>
        <row r="358">
          <cell r="AH358">
            <v>10</v>
          </cell>
        </row>
        <row r="359">
          <cell r="AD359">
            <v>50.9</v>
          </cell>
        </row>
        <row r="359">
          <cell r="AF359">
            <v>0.5</v>
          </cell>
        </row>
        <row r="359">
          <cell r="AH359">
            <v>10</v>
          </cell>
        </row>
        <row r="360">
          <cell r="AD360">
            <v>51.3</v>
          </cell>
        </row>
        <row r="360">
          <cell r="AF360">
            <v>0.5</v>
          </cell>
        </row>
        <row r="360">
          <cell r="AH360">
            <v>13</v>
          </cell>
        </row>
        <row r="361">
          <cell r="AD361">
            <v>51</v>
          </cell>
        </row>
        <row r="361">
          <cell r="AF361">
            <v>0.5</v>
          </cell>
        </row>
        <row r="361">
          <cell r="AH361">
            <v>14</v>
          </cell>
        </row>
        <row r="362">
          <cell r="AD362">
            <v>50.9</v>
          </cell>
        </row>
        <row r="362">
          <cell r="AF362">
            <v>0.5</v>
          </cell>
        </row>
        <row r="362">
          <cell r="AH362">
            <v>21</v>
          </cell>
        </row>
        <row r="363">
          <cell r="AD363">
            <v>50.9</v>
          </cell>
        </row>
        <row r="363">
          <cell r="AF363">
            <v>0.5</v>
          </cell>
        </row>
        <row r="363">
          <cell r="AH363">
            <v>0</v>
          </cell>
        </row>
        <row r="364">
          <cell r="AD364">
            <v>50.7</v>
          </cell>
        </row>
        <row r="364">
          <cell r="AF364">
            <v>0.5</v>
          </cell>
        </row>
        <row r="364">
          <cell r="AH364">
            <v>0</v>
          </cell>
        </row>
        <row r="365">
          <cell r="AD365">
            <v>51.1</v>
          </cell>
        </row>
        <row r="365">
          <cell r="AF365">
            <v>0.5</v>
          </cell>
        </row>
        <row r="365">
          <cell r="AH365">
            <v>0</v>
          </cell>
        </row>
        <row r="366">
          <cell r="AD366">
            <v>51.2</v>
          </cell>
        </row>
        <row r="366">
          <cell r="AF366">
            <v>0.5</v>
          </cell>
        </row>
        <row r="366">
          <cell r="AH366">
            <v>0</v>
          </cell>
        </row>
        <row r="367">
          <cell r="AD367">
            <v>51.1</v>
          </cell>
        </row>
        <row r="367">
          <cell r="AF367">
            <v>0.5</v>
          </cell>
        </row>
        <row r="367">
          <cell r="AH367">
            <v>0</v>
          </cell>
        </row>
        <row r="368">
          <cell r="AD368">
            <v>51.3</v>
          </cell>
        </row>
        <row r="368">
          <cell r="AF368">
            <v>0.6</v>
          </cell>
        </row>
        <row r="368">
          <cell r="AH368">
            <v>0</v>
          </cell>
        </row>
        <row r="369">
          <cell r="AD369">
            <v>51.4</v>
          </cell>
        </row>
        <row r="369">
          <cell r="AF369">
            <v>0.5</v>
          </cell>
        </row>
        <row r="369">
          <cell r="AH369">
            <v>0</v>
          </cell>
        </row>
      </sheetData>
      <sheetData sheetId="10">
        <row r="10">
          <cell r="E10">
            <v>193815.147</v>
          </cell>
        </row>
        <row r="11">
          <cell r="E11">
            <v>182074.9878</v>
          </cell>
        </row>
        <row r="12">
          <cell r="E12">
            <v>197151.5466</v>
          </cell>
        </row>
        <row r="13">
          <cell r="E13">
            <v>180374.4234</v>
          </cell>
        </row>
        <row r="14">
          <cell r="E14">
            <v>196908.6642</v>
          </cell>
        </row>
        <row r="15">
          <cell r="E15">
            <v>192590.7288</v>
          </cell>
        </row>
        <row r="16">
          <cell r="E16">
            <v>197133.6048</v>
          </cell>
        </row>
        <row r="17">
          <cell r="E17">
            <v>111904.2612</v>
          </cell>
        </row>
        <row r="18">
          <cell r="E18">
            <v>26909.436</v>
          </cell>
        </row>
        <row r="19">
          <cell r="E19">
            <v>193378.8726</v>
          </cell>
        </row>
        <row r="20">
          <cell r="E20">
            <v>192999.2898</v>
          </cell>
        </row>
        <row r="21">
          <cell r="E21">
            <v>200189.1066</v>
          </cell>
        </row>
      </sheetData>
      <sheetData sheetId="11" refreshError="1"/>
      <sheetData sheetId="12">
        <row r="1">
          <cell r="B1" t="str">
            <v>Schweinemist</v>
          </cell>
          <cell r="C1" t="str">
            <v>Mischung Rinder-/Schweinegülle</v>
          </cell>
        </row>
        <row r="1">
          <cell r="E1" t="str">
            <v>Getreideschrot</v>
          </cell>
          <cell r="F1" t="str">
            <v>Rindergülle</v>
          </cell>
          <cell r="G1" t="str">
            <v>Grassilage</v>
          </cell>
        </row>
        <row r="1">
          <cell r="I1" t="str">
            <v>Additive</v>
          </cell>
          <cell r="J1" t="str">
            <v>Fütterungsmenge [t/d]</v>
          </cell>
        </row>
        <row r="3">
          <cell r="B3">
            <v>1.1092023460088</v>
          </cell>
          <cell r="C3">
            <v>44.5147652249481</v>
          </cell>
          <cell r="D3">
            <v>50.759666102593</v>
          </cell>
          <cell r="E3">
            <v>3.47611181493005</v>
          </cell>
          <cell r="F3">
            <v>0</v>
          </cell>
          <cell r="G3">
            <v>0.140254511520121</v>
          </cell>
        </row>
        <row r="3">
          <cell r="I3">
            <v>0</v>
          </cell>
          <cell r="J3">
            <v>18.1812333333333</v>
          </cell>
        </row>
        <row r="4">
          <cell r="B4">
            <v>0</v>
          </cell>
          <cell r="C4">
            <v>50.4153527146234</v>
          </cell>
          <cell r="D4">
            <v>42.8690284438094</v>
          </cell>
          <cell r="E4">
            <v>5.78995990647906</v>
          </cell>
          <cell r="F4">
            <v>0</v>
          </cell>
          <cell r="G4">
            <v>0.925658935088167</v>
          </cell>
        </row>
        <row r="4">
          <cell r="I4">
            <v>0</v>
          </cell>
          <cell r="J4">
            <v>17.5637741935484</v>
          </cell>
        </row>
        <row r="5">
          <cell r="B5">
            <v>0</v>
          </cell>
          <cell r="C5">
            <v>59.0013820514475</v>
          </cell>
          <cell r="D5">
            <v>36.453768526283</v>
          </cell>
          <cell r="E5">
            <v>4.32937566134662</v>
          </cell>
          <cell r="F5">
            <v>0</v>
          </cell>
          <cell r="G5">
            <v>0.215473760922941</v>
          </cell>
        </row>
        <row r="5">
          <cell r="I5">
            <v>0</v>
          </cell>
          <cell r="J5">
            <v>23.5040967741935</v>
          </cell>
        </row>
        <row r="6">
          <cell r="B6">
            <v>0.241244604963899</v>
          </cell>
          <cell r="C6">
            <v>61.280783897582</v>
          </cell>
          <cell r="D6">
            <v>33.5553404263901</v>
          </cell>
          <cell r="E6">
            <v>4.44091756726148</v>
          </cell>
          <cell r="F6">
            <v>0</v>
          </cell>
          <cell r="G6">
            <v>0.481713503802511</v>
          </cell>
        </row>
        <row r="6">
          <cell r="I6">
            <v>0</v>
          </cell>
          <cell r="J6">
            <v>23.0205</v>
          </cell>
        </row>
        <row r="7">
          <cell r="B7">
            <v>13.547379569479</v>
          </cell>
          <cell r="C7">
            <v>42.8699599970318</v>
          </cell>
          <cell r="D7">
            <v>37.5324644661661</v>
          </cell>
          <cell r="E7">
            <v>5.37223672582789</v>
          </cell>
          <cell r="F7">
            <v>0</v>
          </cell>
          <cell r="G7">
            <v>0.677959241495153</v>
          </cell>
        </row>
        <row r="7">
          <cell r="I7">
            <v>0</v>
          </cell>
          <cell r="J7">
            <v>19.1276129032258</v>
          </cell>
        </row>
        <row r="8">
          <cell r="B8">
            <v>16.3034053714261</v>
          </cell>
          <cell r="C8">
            <v>44.7257566889934</v>
          </cell>
          <cell r="D8">
            <v>32.2529425790649</v>
          </cell>
          <cell r="E8">
            <v>5.48053092869168</v>
          </cell>
          <cell r="F8">
            <v>0</v>
          </cell>
          <cell r="G8">
            <v>1.23736443182393</v>
          </cell>
        </row>
        <row r="8">
          <cell r="I8">
            <v>0</v>
          </cell>
          <cell r="J8">
            <v>18.4532</v>
          </cell>
        </row>
        <row r="9">
          <cell r="B9">
            <v>15.7642405891621</v>
          </cell>
          <cell r="C9">
            <v>44.1770255824832</v>
          </cell>
          <cell r="D9">
            <v>33.8129873024826</v>
          </cell>
          <cell r="E9">
            <v>4.5181816493094</v>
          </cell>
          <cell r="F9">
            <v>0</v>
          </cell>
          <cell r="G9">
            <v>1.7275648765627</v>
          </cell>
        </row>
        <row r="9">
          <cell r="I9">
            <v>0</v>
          </cell>
          <cell r="J9">
            <v>19.1020322580645</v>
          </cell>
        </row>
        <row r="10">
          <cell r="B10">
            <v>10.2675734079064</v>
          </cell>
          <cell r="C10">
            <v>0</v>
          </cell>
          <cell r="D10">
            <v>25.418414473963</v>
          </cell>
          <cell r="E10">
            <v>0</v>
          </cell>
          <cell r="F10">
            <v>62.6244650650396</v>
          </cell>
          <cell r="G10">
            <v>1.68954705309097</v>
          </cell>
        </row>
        <row r="10">
          <cell r="I10">
            <v>0</v>
          </cell>
          <cell r="J10">
            <v>15.734</v>
          </cell>
        </row>
        <row r="11">
          <cell r="B11">
            <v>15.3926926473045</v>
          </cell>
          <cell r="C11">
            <v>0</v>
          </cell>
          <cell r="D11">
            <v>35.4461494403742</v>
          </cell>
          <cell r="E11">
            <v>0</v>
          </cell>
          <cell r="F11">
            <v>49.1611579123213</v>
          </cell>
          <cell r="G11">
            <v>0</v>
          </cell>
        </row>
        <row r="11">
          <cell r="I11">
            <v>0</v>
          </cell>
          <cell r="J11">
            <v>2.70341935483871</v>
          </cell>
        </row>
        <row r="12">
          <cell r="B12">
            <v>11.2998621425713</v>
          </cell>
          <cell r="C12">
            <v>0</v>
          </cell>
          <cell r="D12">
            <v>41.635908154341</v>
          </cell>
          <cell r="E12">
            <v>0</v>
          </cell>
          <cell r="F12">
            <v>47.0642297030877</v>
          </cell>
          <cell r="G12">
            <v>0</v>
          </cell>
        </row>
        <row r="12">
          <cell r="I12">
            <v>0</v>
          </cell>
          <cell r="J12">
            <v>21.7616129032258</v>
          </cell>
        </row>
        <row r="13">
          <cell r="B13">
            <v>10.1438745052745</v>
          </cell>
          <cell r="C13">
            <v>0</v>
          </cell>
          <cell r="D13">
            <v>42.6198404951493</v>
          </cell>
          <cell r="E13">
            <v>0</v>
          </cell>
          <cell r="F13">
            <v>47.2362849995763</v>
          </cell>
          <cell r="G13">
            <v>0</v>
          </cell>
        </row>
        <row r="13">
          <cell r="I13">
            <v>0</v>
          </cell>
          <cell r="J13">
            <v>21.2407333333333</v>
          </cell>
        </row>
        <row r="14">
          <cell r="B14">
            <v>11.1337173177351</v>
          </cell>
          <cell r="C14">
            <v>0</v>
          </cell>
          <cell r="D14">
            <v>42.7592544961144</v>
          </cell>
          <cell r="E14">
            <v>0</v>
          </cell>
          <cell r="F14">
            <v>45.9220683137729</v>
          </cell>
          <cell r="G14">
            <v>0.184959872377688</v>
          </cell>
        </row>
        <row r="14">
          <cell r="I14">
            <v>0</v>
          </cell>
          <cell r="J14">
            <v>22.323935483871</v>
          </cell>
        </row>
      </sheetData>
      <sheetData sheetId="13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BGA 15_Diagramme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sv.Daten aggregiert"/>
      <sheetName val="Stromerzeugung aggregiert"/>
      <sheetName val="Stromerzeugung"/>
      <sheetName val="Fermentation"/>
      <sheetName val="theoretische Werte"/>
      <sheetName val="Tabellen für Auwertung"/>
      <sheetName val="Auswertung"/>
      <sheetName val="Finales Datenblatt"/>
      <sheetName val="Biogas_Nm"/>
      <sheetName val="Datenblatt"/>
      <sheetName val="Diagramme für Broschüre"/>
    </sheetNames>
    <sheetDataSet>
      <sheetData sheetId="0"/>
      <sheetData sheetId="1"/>
      <sheetData sheetId="2"/>
      <sheetData sheetId="3"/>
      <sheetData sheetId="4"/>
      <sheetData sheetId="5"/>
      <sheetData sheetId="6">
        <row r="27">
          <cell r="L27" t="str">
            <v>Rindergülle</v>
          </cell>
          <cell r="M27" t="str">
            <v>Rindermist</v>
          </cell>
          <cell r="N27" t="str">
            <v>Grassilage</v>
          </cell>
          <cell r="O27" t="str">
            <v>Milchzuckermelasse</v>
          </cell>
        </row>
      </sheetData>
      <sheetData sheetId="7"/>
      <sheetData sheetId="8"/>
      <sheetData sheetId="9"/>
      <sheetData sheetId="10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GA16_Diagramme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Hafer Getreide und Getreidekorn</v>
          </cell>
          <cell r="H2" t="str">
            <v>Zuckerrüben</v>
          </cell>
          <cell r="I2" t="str">
            <v>Grassilage</v>
          </cell>
        </row>
        <row r="2">
          <cell r="P2" t="str">
            <v>Putenmist</v>
          </cell>
          <cell r="Q2" t="str">
            <v>Weizenkleie</v>
          </cell>
          <cell r="R2" t="str">
            <v>Roggen-Ganzpflanzensilage</v>
          </cell>
          <cell r="S2" t="str">
            <v>Roggen Getreide und Getreidekorn</v>
          </cell>
          <cell r="T2" t="str">
            <v>Gerste Getreide und Getreidekorn</v>
          </cell>
          <cell r="U2" t="str">
            <v>Name des Substrats</v>
          </cell>
        </row>
        <row r="4">
          <cell r="C4" t="str">
            <v>Okt</v>
          </cell>
          <cell r="D4">
            <v>3.08483290488432</v>
          </cell>
          <cell r="E4">
            <v>35.2552331986779</v>
          </cell>
          <cell r="F4">
            <v>31.4359162688212</v>
          </cell>
          <cell r="G4">
            <v>19.6430407638634</v>
          </cell>
          <cell r="H4">
            <v>0</v>
          </cell>
          <cell r="I4">
            <v>7.78993756885788</v>
          </cell>
          <cell r="J4">
            <v>2.79103929489534</v>
          </cell>
        </row>
        <row r="4"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4">
          <cell r="Z4">
            <v>21.9596774193548</v>
          </cell>
        </row>
        <row r="5">
          <cell r="C5" t="str">
            <v>Nov</v>
          </cell>
          <cell r="D5">
            <v>4.53276832030394</v>
          </cell>
          <cell r="E5">
            <v>32.4395411704537</v>
          </cell>
          <cell r="F5">
            <v>26.0100825600935</v>
          </cell>
          <cell r="G5">
            <v>19.6682983853291</v>
          </cell>
          <cell r="H5">
            <v>11.1638781325345</v>
          </cell>
          <cell r="I5">
            <v>6.18543143128516</v>
          </cell>
          <cell r="J5">
            <v>0</v>
          </cell>
        </row>
        <row r="5"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5">
          <cell r="Z5">
            <v>22.8116666666667</v>
          </cell>
        </row>
        <row r="6">
          <cell r="C6" t="str">
            <v>Dez</v>
          </cell>
          <cell r="D6">
            <v>5.36880067389702</v>
          </cell>
          <cell r="E6">
            <v>28.9565125829209</v>
          </cell>
          <cell r="F6">
            <v>25.3237864588818</v>
          </cell>
          <cell r="G6">
            <v>19.1191955354322</v>
          </cell>
          <cell r="H6">
            <v>16.0971885858692</v>
          </cell>
          <cell r="I6">
            <v>5.13451616299884</v>
          </cell>
          <cell r="J6">
            <v>0</v>
          </cell>
        </row>
        <row r="6"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6">
          <cell r="Z6">
            <v>24.5083870967742</v>
          </cell>
        </row>
        <row r="7">
          <cell r="C7" t="str">
            <v>Jan</v>
          </cell>
          <cell r="D7">
            <v>5.57899033882161</v>
          </cell>
          <cell r="E7">
            <v>28.4392434344809</v>
          </cell>
          <cell r="F7">
            <v>33.0249013471221</v>
          </cell>
          <cell r="G7">
            <v>13.2943257586066</v>
          </cell>
          <cell r="H7">
            <v>6.16410395972241</v>
          </cell>
          <cell r="I7">
            <v>7.66090624574772</v>
          </cell>
          <cell r="J7">
            <v>5.83752891549871</v>
          </cell>
        </row>
        <row r="7"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7">
          <cell r="Z7">
            <v>23.7064516129032</v>
          </cell>
        </row>
        <row r="8">
          <cell r="C8" t="str">
            <v>Feb</v>
          </cell>
          <cell r="D8">
            <v>6.03085553997195</v>
          </cell>
          <cell r="E8">
            <v>27.9102384291725</v>
          </cell>
          <cell r="F8">
            <v>30.3927068723703</v>
          </cell>
          <cell r="G8">
            <v>17.4894810659186</v>
          </cell>
          <cell r="H8">
            <v>5.48387096774193</v>
          </cell>
          <cell r="I8">
            <v>7.12482468443198</v>
          </cell>
          <cell r="J8">
            <v>5.56802244039271</v>
          </cell>
        </row>
        <row r="8"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8">
          <cell r="Z8">
            <v>25.4642857142857</v>
          </cell>
        </row>
        <row r="9">
          <cell r="C9" t="str">
            <v>Mrz</v>
          </cell>
          <cell r="D9">
            <v>6.49681528662421</v>
          </cell>
          <cell r="E9">
            <v>27.2611464968153</v>
          </cell>
          <cell r="F9">
            <v>32.4968152866242</v>
          </cell>
          <cell r="G9">
            <v>16.7388535031847</v>
          </cell>
          <cell r="H9">
            <v>5.14649681528662</v>
          </cell>
          <cell r="I9">
            <v>6.50955414012739</v>
          </cell>
          <cell r="J9">
            <v>5.35031847133758</v>
          </cell>
        </row>
        <row r="9"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9">
          <cell r="Z9">
            <v>25.3225806451613</v>
          </cell>
        </row>
        <row r="10">
          <cell r="C10" t="str">
            <v>Apr</v>
          </cell>
          <cell r="D10">
            <v>5.97525664648592</v>
          </cell>
          <cell r="E10">
            <v>27.375625164517</v>
          </cell>
          <cell r="F10">
            <v>31.3371939984206</v>
          </cell>
          <cell r="G10">
            <v>17.7546722821795</v>
          </cell>
          <cell r="H10">
            <v>5.35667280863385</v>
          </cell>
          <cell r="I10">
            <v>6.97551987365096</v>
          </cell>
          <cell r="J10">
            <v>5.22505922611214</v>
          </cell>
        </row>
        <row r="10"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0">
          <cell r="Z10">
            <v>25.3266666666667</v>
          </cell>
        </row>
        <row r="11">
          <cell r="C11" t="str">
            <v>Mai</v>
          </cell>
          <cell r="D11">
            <v>6.21055289068417</v>
          </cell>
          <cell r="E11">
            <v>27.2658419591012</v>
          </cell>
          <cell r="F11">
            <v>31.4188336278717</v>
          </cell>
          <cell r="G11">
            <v>16.208028275688</v>
          </cell>
          <cell r="H11">
            <v>5.42792224185812</v>
          </cell>
          <cell r="I11">
            <v>7.90204493814693</v>
          </cell>
          <cell r="J11">
            <v>5.56677606664984</v>
          </cell>
        </row>
        <row r="11"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1">
          <cell r="Z11">
            <v>25.5548387096774</v>
          </cell>
        </row>
        <row r="12">
          <cell r="C12" t="str">
            <v>Jun</v>
          </cell>
          <cell r="D12">
            <v>6.12764816304639</v>
          </cell>
          <cell r="E12">
            <v>27.8895146151783</v>
          </cell>
          <cell r="F12">
            <v>26.9509251810137</v>
          </cell>
          <cell r="G12">
            <v>18.946098149638</v>
          </cell>
          <cell r="H12">
            <v>5.81925449182086</v>
          </cell>
          <cell r="I12">
            <v>8.46071332796997</v>
          </cell>
          <cell r="J12">
            <v>5.8058460713328</v>
          </cell>
        </row>
        <row r="12"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2">
          <cell r="Z12">
            <v>24.86</v>
          </cell>
        </row>
        <row r="13">
          <cell r="C13" t="str">
            <v>Jul</v>
          </cell>
          <cell r="D13">
            <v>5.34835534835535</v>
          </cell>
          <cell r="E13">
            <v>28.4900284900285</v>
          </cell>
          <cell r="F13">
            <v>27.4669774669775</v>
          </cell>
          <cell r="G13">
            <v>20.7459207459207</v>
          </cell>
          <cell r="H13">
            <v>5.21885521885522</v>
          </cell>
          <cell r="I13">
            <v>7.00595700595701</v>
          </cell>
          <cell r="J13">
            <v>5.72390572390573</v>
          </cell>
        </row>
        <row r="13"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3">
          <cell r="Z13">
            <v>24.9096774193548</v>
          </cell>
        </row>
        <row r="14">
          <cell r="C14" t="str">
            <v>Aug</v>
          </cell>
          <cell r="D14">
            <v>5.59275793650794</v>
          </cell>
          <cell r="E14">
            <v>27.9017857142857</v>
          </cell>
          <cell r="F14">
            <v>29.9479166666667</v>
          </cell>
          <cell r="G14">
            <v>18.8368055555556</v>
          </cell>
          <cell r="H14">
            <v>5.13392857142857</v>
          </cell>
          <cell r="I14">
            <v>7.72569444444444</v>
          </cell>
          <cell r="J14">
            <v>4.86111111111111</v>
          </cell>
        </row>
        <row r="14"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4">
          <cell r="Z14">
            <v>26.0129032258065</v>
          </cell>
        </row>
        <row r="15">
          <cell r="C15" t="str">
            <v>Sep</v>
          </cell>
          <cell r="D15">
            <v>0</v>
          </cell>
          <cell r="E15">
            <v>34.9373183406242</v>
          </cell>
          <cell r="F15">
            <v>27.2892751240422</v>
          </cell>
          <cell r="G15">
            <v>19.1303837233199</v>
          </cell>
          <cell r="H15">
            <v>0</v>
          </cell>
          <cell r="I15">
            <v>6.44432048383782</v>
          </cell>
          <cell r="J15">
            <v>12.1987023281759</v>
          </cell>
        </row>
        <row r="15"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5">
          <cell r="Z15">
            <v>22.7073333333333</v>
          </cell>
        </row>
        <row r="25">
          <cell r="D25" t="str">
            <v>FOS/TAC</v>
          </cell>
        </row>
        <row r="28">
          <cell r="E28">
            <v>0.502</v>
          </cell>
        </row>
        <row r="29">
          <cell r="E29">
            <v>0.406</v>
          </cell>
        </row>
        <row r="30">
          <cell r="E30">
            <v>0.227</v>
          </cell>
        </row>
        <row r="31">
          <cell r="E31">
            <v>0.354</v>
          </cell>
        </row>
        <row r="32">
          <cell r="E32">
            <v>0.342</v>
          </cell>
        </row>
        <row r="33">
          <cell r="E33">
            <v>0.346</v>
          </cell>
        </row>
        <row r="34">
          <cell r="E34">
            <v>0.273</v>
          </cell>
        </row>
        <row r="35">
          <cell r="E35">
            <v>0.366</v>
          </cell>
        </row>
        <row r="36">
          <cell r="E36">
            <v>0.641</v>
          </cell>
        </row>
        <row r="37">
          <cell r="E37">
            <v>0.392</v>
          </cell>
        </row>
        <row r="38">
          <cell r="E38">
            <v>0.426</v>
          </cell>
        </row>
        <row r="39">
          <cell r="E39">
            <v>0.358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Okt</v>
          </cell>
        </row>
        <row r="50">
          <cell r="C50" t="str">
            <v>Nov</v>
          </cell>
        </row>
        <row r="51">
          <cell r="C51" t="str">
            <v>Dez</v>
          </cell>
        </row>
        <row r="52">
          <cell r="C52" t="str">
            <v>Jan</v>
          </cell>
        </row>
        <row r="53">
          <cell r="C53" t="str">
            <v>Feb</v>
          </cell>
        </row>
        <row r="54">
          <cell r="C54" t="str">
            <v>Mrz</v>
          </cell>
        </row>
        <row r="55">
          <cell r="C55" t="str">
            <v>Apr</v>
          </cell>
        </row>
        <row r="56">
          <cell r="C56" t="str">
            <v>Mai</v>
          </cell>
        </row>
        <row r="57">
          <cell r="C57" t="str">
            <v>Jun</v>
          </cell>
        </row>
        <row r="58">
          <cell r="C58" t="str">
            <v>Jul</v>
          </cell>
        </row>
        <row r="59">
          <cell r="C59" t="str">
            <v>Aug</v>
          </cell>
        </row>
        <row r="60">
          <cell r="C60" t="str">
            <v>Sep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BGA17_Diagramme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</row>
        <row r="2">
          <cell r="I2" t="str">
            <v>Grassilage</v>
          </cell>
        </row>
        <row r="2">
          <cell r="P2" t="str">
            <v>Putenmist</v>
          </cell>
        </row>
        <row r="4">
          <cell r="C4" t="str">
            <v>Sep</v>
          </cell>
          <cell r="D4">
            <v>12.1080196399345</v>
          </cell>
          <cell r="E4">
            <v>32.6786688488816</v>
          </cell>
          <cell r="F4">
            <v>38.342062193126</v>
          </cell>
        </row>
        <row r="4">
          <cell r="I4">
            <v>0</v>
          </cell>
        </row>
        <row r="4">
          <cell r="P4">
            <v>6.72667757774141</v>
          </cell>
          <cell r="Q4">
            <v>10.0900163666121</v>
          </cell>
        </row>
        <row r="4">
          <cell r="Z4">
            <v>61.1</v>
          </cell>
        </row>
        <row r="5">
          <cell r="C5" t="str">
            <v>Okt</v>
          </cell>
          <cell r="D5">
            <v>12.0301797945205</v>
          </cell>
          <cell r="E5">
            <v>33.1228595890411</v>
          </cell>
          <cell r="F5">
            <v>41.4372859589041</v>
          </cell>
        </row>
        <row r="5">
          <cell r="I5">
            <v>0</v>
          </cell>
        </row>
        <row r="5">
          <cell r="P5">
            <v>6.68343321917808</v>
          </cell>
          <cell r="Q5">
            <v>6.68343321917808</v>
          </cell>
        </row>
        <row r="5">
          <cell r="Z5">
            <v>60.2838709677419</v>
          </cell>
        </row>
        <row r="6">
          <cell r="C6" t="str">
            <v>Nov</v>
          </cell>
          <cell r="D6">
            <v>11.9407340891234</v>
          </cell>
          <cell r="E6">
            <v>33.6176899764283</v>
          </cell>
          <cell r="F6">
            <v>41.1291951958694</v>
          </cell>
        </row>
        <row r="6">
          <cell r="I6">
            <v>0</v>
          </cell>
        </row>
        <row r="6">
          <cell r="P6">
            <v>6.63374116062409</v>
          </cell>
          <cell r="Q6">
            <v>6.63374116062409</v>
          </cell>
        </row>
        <row r="6">
          <cell r="Z6">
            <v>59.3933333333333</v>
          </cell>
        </row>
        <row r="7">
          <cell r="C7" t="str">
            <v>Dez</v>
          </cell>
          <cell r="D7">
            <v>12.0189518468381</v>
          </cell>
          <cell r="E7">
            <v>33.2516813855046</v>
          </cell>
          <cell r="F7">
            <v>41.3320011173425</v>
          </cell>
        </row>
        <row r="7">
          <cell r="I7">
            <v>0</v>
          </cell>
        </row>
        <row r="7">
          <cell r="P7">
            <v>6.67719547046563</v>
          </cell>
          <cell r="Q7">
            <v>6.66645179311975</v>
          </cell>
        </row>
        <row r="7">
          <cell r="Z7">
            <v>60.0503225806452</v>
          </cell>
        </row>
        <row r="8">
          <cell r="C8" t="str">
            <v>Jan</v>
          </cell>
          <cell r="D8">
            <v>12.2693651119786</v>
          </cell>
          <cell r="E8">
            <v>31.7957674131909</v>
          </cell>
          <cell r="F8">
            <v>42.2611464968153</v>
          </cell>
        </row>
        <row r="8">
          <cell r="I8">
            <v>0</v>
          </cell>
        </row>
        <row r="8">
          <cell r="P8">
            <v>6.81631395109924</v>
          </cell>
          <cell r="Q8">
            <v>6.81631395109924</v>
          </cell>
        </row>
        <row r="8">
          <cell r="Z8">
            <v>62.8</v>
          </cell>
        </row>
        <row r="9">
          <cell r="C9" t="str">
            <v>Feb</v>
          </cell>
          <cell r="D9">
            <v>12.2016342502014</v>
          </cell>
          <cell r="E9">
            <v>32.1671078374957</v>
          </cell>
          <cell r="F9">
            <v>42.0278513062493</v>
          </cell>
        </row>
        <row r="9">
          <cell r="I9">
            <v>0</v>
          </cell>
        </row>
        <row r="9">
          <cell r="P9">
            <v>6.77868569455634</v>
          </cell>
          <cell r="Q9">
            <v>6.77868569455634</v>
          </cell>
        </row>
        <row r="9">
          <cell r="Z9">
            <v>62.0642857142857</v>
          </cell>
        </row>
        <row r="10">
          <cell r="C10" t="str">
            <v>Mrz</v>
          </cell>
          <cell r="D10">
            <v>12.2886386898669</v>
          </cell>
          <cell r="E10">
            <v>31.6786079836233</v>
          </cell>
          <cell r="F10">
            <v>42.3275332650972</v>
          </cell>
        </row>
        <row r="10">
          <cell r="I10">
            <v>0</v>
          </cell>
        </row>
        <row r="10">
          <cell r="P10">
            <v>6.82702149437052</v>
          </cell>
          <cell r="Q10">
            <v>6.82702149437052</v>
          </cell>
        </row>
        <row r="10">
          <cell r="Z10">
            <v>63.0322580645161</v>
          </cell>
        </row>
        <row r="11">
          <cell r="C11" t="str">
            <v>Apr</v>
          </cell>
          <cell r="D11">
            <v>12.228992944195</v>
          </cell>
          <cell r="E11">
            <v>32.0183878554629</v>
          </cell>
          <cell r="F11">
            <v>42.1220868077828</v>
          </cell>
        </row>
        <row r="11">
          <cell r="I11">
            <v>0</v>
          </cell>
        </row>
        <row r="11">
          <cell r="P11">
            <v>6.79388496899722</v>
          </cell>
          <cell r="Q11">
            <v>6.79388496899722</v>
          </cell>
        </row>
        <row r="11">
          <cell r="Z11">
            <v>62.36</v>
          </cell>
        </row>
        <row r="12">
          <cell r="C12" t="str">
            <v>Mai</v>
          </cell>
          <cell r="D12">
            <v>12.2986508585446</v>
          </cell>
          <cell r="E12">
            <v>31.6332788225675</v>
          </cell>
          <cell r="F12">
            <v>45.778311529027</v>
          </cell>
        </row>
        <row r="12">
          <cell r="I12">
            <v>0</v>
          </cell>
        </row>
        <row r="12">
          <cell r="P12">
            <v>6.83258381030254</v>
          </cell>
          <cell r="Q12">
            <v>3.41629190515127</v>
          </cell>
        </row>
        <row r="12">
          <cell r="Z12">
            <v>63.1225806451613</v>
          </cell>
        </row>
        <row r="13">
          <cell r="C13" t="str">
            <v>Jun</v>
          </cell>
          <cell r="D13">
            <v>12.3514644351464</v>
          </cell>
          <cell r="E13">
            <v>31.3284518828452</v>
          </cell>
          <cell r="F13">
            <v>48.0334728033473</v>
          </cell>
        </row>
        <row r="13">
          <cell r="I13">
            <v>0</v>
          </cell>
        </row>
        <row r="13">
          <cell r="P13">
            <v>6.86192468619247</v>
          </cell>
          <cell r="Q13">
            <v>1.37238493723849</v>
          </cell>
        </row>
        <row r="13">
          <cell r="Z13">
            <v>63.7333333333333</v>
          </cell>
        </row>
        <row r="14">
          <cell r="C14" t="str">
            <v>Jul</v>
          </cell>
          <cell r="D14">
            <v>12.3976374011413</v>
          </cell>
          <cell r="E14">
            <v>31.0841926118731</v>
          </cell>
          <cell r="F14">
            <v>48.2130343377716</v>
          </cell>
        </row>
        <row r="14">
          <cell r="I14">
            <v>0</v>
          </cell>
        </row>
        <row r="14">
          <cell r="P14">
            <v>6.88757633396737</v>
          </cell>
          <cell r="Q14">
            <v>1.37751526679347</v>
          </cell>
        </row>
        <row r="14">
          <cell r="Z14">
            <v>64.4451612903226</v>
          </cell>
        </row>
        <row r="15">
          <cell r="C15" t="str">
            <v>Aug</v>
          </cell>
          <cell r="D15">
            <v>9.92120901190922</v>
          </cell>
          <cell r="E15">
            <v>48.5073356707628</v>
          </cell>
          <cell r="F15">
            <v>36.0103141913742</v>
          </cell>
        </row>
        <row r="15">
          <cell r="I15">
            <v>0</v>
          </cell>
        </row>
        <row r="15">
          <cell r="P15">
            <v>5.51178278439401</v>
          </cell>
          <cell r="Q15">
            <v>0</v>
          </cell>
        </row>
        <row r="15">
          <cell r="Z15">
            <v>25.2705376344086</v>
          </cell>
        </row>
        <row r="25">
          <cell r="D25" t="str">
            <v>FOS/TAC</v>
          </cell>
        </row>
        <row r="28">
          <cell r="E28">
            <v>0.328</v>
          </cell>
        </row>
        <row r="29">
          <cell r="E29">
            <v>0.514</v>
          </cell>
        </row>
        <row r="30">
          <cell r="E30">
            <v>0.349</v>
          </cell>
        </row>
        <row r="31">
          <cell r="E31">
            <v>0.335</v>
          </cell>
        </row>
        <row r="32">
          <cell r="E32">
            <v>0.365</v>
          </cell>
        </row>
        <row r="33">
          <cell r="E33">
            <v>0.311</v>
          </cell>
        </row>
        <row r="34">
          <cell r="E34">
            <v>0.421</v>
          </cell>
        </row>
        <row r="35">
          <cell r="E35">
            <v>0.382</v>
          </cell>
        </row>
        <row r="36">
          <cell r="E36">
            <v>0.293</v>
          </cell>
        </row>
        <row r="37">
          <cell r="E37">
            <v>0.27</v>
          </cell>
        </row>
        <row r="38">
          <cell r="E38">
            <v>0.451</v>
          </cell>
        </row>
        <row r="39">
          <cell r="E39">
            <v>0.241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87.7550438596491</v>
          </cell>
          <cell r="I49">
            <v>24.1707983539095</v>
          </cell>
        </row>
        <row r="50">
          <cell r="C50" t="str">
            <v>Okt</v>
          </cell>
        </row>
        <row r="50">
          <cell r="H50">
            <v>88.8313377192982</v>
          </cell>
          <cell r="I50">
            <v>43.9336985596708</v>
          </cell>
        </row>
        <row r="51">
          <cell r="C51" t="str">
            <v>Nov</v>
          </cell>
        </row>
        <row r="51">
          <cell r="H51">
            <v>86.8313523391813</v>
          </cell>
          <cell r="I51">
            <v>27.707738616753</v>
          </cell>
        </row>
        <row r="52">
          <cell r="C52" t="str">
            <v>Dez</v>
          </cell>
        </row>
        <row r="52">
          <cell r="H52">
            <v>85.5879166666667</v>
          </cell>
          <cell r="I52">
            <v>64.7756670649144</v>
          </cell>
        </row>
        <row r="53">
          <cell r="C53" t="str">
            <v>Jan</v>
          </cell>
        </row>
        <row r="53">
          <cell r="H53">
            <v>90.3568640350877</v>
          </cell>
          <cell r="I53">
            <v>40.5868677817603</v>
          </cell>
        </row>
        <row r="54">
          <cell r="C54" t="str">
            <v>Feb</v>
          </cell>
        </row>
        <row r="54">
          <cell r="H54">
            <v>94.7681652046784</v>
          </cell>
          <cell r="I54">
            <v>41.5526417098102</v>
          </cell>
        </row>
        <row r="55">
          <cell r="C55" t="str">
            <v>Mrz</v>
          </cell>
        </row>
        <row r="55">
          <cell r="H55">
            <v>88.375519005848</v>
          </cell>
          <cell r="I55">
            <v>32.1455932784637</v>
          </cell>
        </row>
        <row r="56">
          <cell r="C56" t="str">
            <v>Apr</v>
          </cell>
        </row>
        <row r="56">
          <cell r="H56">
            <v>82.3745687134503</v>
          </cell>
          <cell r="I56">
            <v>46.3438902163812</v>
          </cell>
        </row>
        <row r="57">
          <cell r="C57" t="str">
            <v>Mai</v>
          </cell>
        </row>
        <row r="57">
          <cell r="H57">
            <v>84.4268713450292</v>
          </cell>
          <cell r="I57">
            <v>42.1263374485597</v>
          </cell>
        </row>
        <row r="58">
          <cell r="C58" t="str">
            <v>Jun</v>
          </cell>
        </row>
        <row r="58">
          <cell r="H58">
            <v>80.4633114035088</v>
          </cell>
          <cell r="I58">
            <v>45.2768020708881</v>
          </cell>
        </row>
        <row r="59">
          <cell r="C59" t="str">
            <v>Jul</v>
          </cell>
        </row>
        <row r="59">
          <cell r="H59">
            <v>80.1983698830409</v>
          </cell>
          <cell r="I59">
            <v>37.7691700960219</v>
          </cell>
        </row>
        <row r="60">
          <cell r="C60" t="str">
            <v>Aug</v>
          </cell>
        </row>
        <row r="60">
          <cell r="H60">
            <v>76.0856871345029</v>
          </cell>
          <cell r="I60">
            <v>36.1966148944644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BGA18_Diagramme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Ersterfassung BHKW"/>
      <sheetName val="Pivot Ersterfassung Behälter"/>
      <sheetName val="Pivot Ersterfassung Anlage"/>
      <sheetName val="Pivot BTB Sonstige Aggregate"/>
      <sheetName val="Abfrage Labordaten"/>
      <sheetName val="Rechnung"/>
      <sheetName val="Validierung"/>
      <sheetName val="Pivot BTB Substrat"/>
      <sheetName val="Pivot Labordaten"/>
      <sheetName val="Pivot BTB Anlage"/>
      <sheetName val="Pivot BTB BHKW"/>
      <sheetName val="Datenblatt neu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Weizen Getreide und Getreidekorn</v>
          </cell>
        </row>
        <row r="2">
          <cell r="I2" t="str">
            <v>Grassilage</v>
          </cell>
        </row>
        <row r="2">
          <cell r="P2" t="str">
            <v>Pferdemist</v>
          </cell>
        </row>
        <row r="4">
          <cell r="C4" t="str">
            <v>Sep</v>
          </cell>
          <cell r="D4">
            <v>4.62692476747242</v>
          </cell>
          <cell r="E4">
            <v>58.5487544911732</v>
          </cell>
          <cell r="F4">
            <v>11.5747652923785</v>
          </cell>
          <cell r="G4">
            <v>3.31035848076087</v>
          </cell>
        </row>
        <row r="4">
          <cell r="I4">
            <v>7.02779489729664</v>
          </cell>
          <cell r="J4">
            <v>12.6409217908365</v>
          </cell>
        </row>
        <row r="4">
          <cell r="P4">
            <v>2.27048028008187</v>
          </cell>
        </row>
        <row r="4">
          <cell r="Z4">
            <v>56.5739333333333</v>
          </cell>
        </row>
        <row r="5">
          <cell r="C5" t="str">
            <v>Okt</v>
          </cell>
          <cell r="D5">
            <v>10.4046761673865</v>
          </cell>
          <cell r="E5">
            <v>41.5041052073996</v>
          </cell>
          <cell r="F5">
            <v>23.4052211514954</v>
          </cell>
          <cell r="G5">
            <v>0.667541867003504</v>
          </cell>
        </row>
        <row r="5">
          <cell r="I5">
            <v>8.42866310814115</v>
          </cell>
          <cell r="J5">
            <v>13.2408855227773</v>
          </cell>
        </row>
        <row r="5">
          <cell r="P5">
            <v>2.34890697579659</v>
          </cell>
        </row>
        <row r="5">
          <cell r="Z5">
            <v>50.6673548387097</v>
          </cell>
        </row>
        <row r="6">
          <cell r="C6" t="str">
            <v>Nov</v>
          </cell>
          <cell r="D6">
            <v>11.5266472336036</v>
          </cell>
          <cell r="E6">
            <v>44.4502340081548</v>
          </cell>
          <cell r="F6">
            <v>21.8731250231138</v>
          </cell>
          <cell r="G6">
            <v>0</v>
          </cell>
        </row>
        <row r="6">
          <cell r="I6">
            <v>5.68673762439359</v>
          </cell>
          <cell r="J6">
            <v>12.7336424739566</v>
          </cell>
        </row>
        <row r="6">
          <cell r="P6">
            <v>3.72961363677761</v>
          </cell>
        </row>
        <row r="6">
          <cell r="Z6">
            <v>60.3896333333333</v>
          </cell>
        </row>
        <row r="7">
          <cell r="C7" t="str">
            <v>Dez</v>
          </cell>
          <cell r="D7">
            <v>14.5601064982902</v>
          </cell>
          <cell r="E7">
            <v>36.8217584042548</v>
          </cell>
          <cell r="F7">
            <v>24.2418385958399</v>
          </cell>
          <cell r="G7">
            <v>0.820097865011892</v>
          </cell>
        </row>
        <row r="7">
          <cell r="I7">
            <v>6.55957502401488</v>
          </cell>
          <cell r="J7">
            <v>12.6211789955772</v>
          </cell>
        </row>
        <row r="7">
          <cell r="P7">
            <v>4.37544461701112</v>
          </cell>
        </row>
        <row r="7">
          <cell r="Z7">
            <v>50.7413870967742</v>
          </cell>
        </row>
        <row r="8">
          <cell r="C8" t="str">
            <v>Jan</v>
          </cell>
          <cell r="D8">
            <v>12.4453813461512</v>
          </cell>
          <cell r="E8">
            <v>40.2256711067661</v>
          </cell>
          <cell r="F8">
            <v>26.0153163061632</v>
          </cell>
          <cell r="G8">
            <v>0.345974717232202</v>
          </cell>
        </row>
        <row r="8">
          <cell r="I8">
            <v>5.13809116460956</v>
          </cell>
          <cell r="J8">
            <v>10.7155077599902</v>
          </cell>
        </row>
        <row r="8">
          <cell r="P8">
            <v>5.11405759908754</v>
          </cell>
        </row>
        <row r="8">
          <cell r="Z8">
            <v>47.5141935483871</v>
          </cell>
        </row>
        <row r="9">
          <cell r="C9" t="str">
            <v>Feb</v>
          </cell>
          <cell r="D9">
            <v>13.0137175910074</v>
          </cell>
          <cell r="E9">
            <v>42.8283152059096</v>
          </cell>
          <cell r="F9">
            <v>27.7367796079231</v>
          </cell>
          <cell r="G9">
            <v>0.117360802511856</v>
          </cell>
        </row>
        <row r="9">
          <cell r="I9">
            <v>5.16569655202558</v>
          </cell>
          <cell r="J9">
            <v>7.15871755458261</v>
          </cell>
        </row>
        <row r="9">
          <cell r="P9">
            <v>3.97941268603982</v>
          </cell>
        </row>
        <row r="9">
          <cell r="Z9">
            <v>49.0246428571429</v>
          </cell>
        </row>
        <row r="10">
          <cell r="C10" t="str">
            <v>Mrz</v>
          </cell>
          <cell r="D10">
            <v>15.38722177957</v>
          </cell>
          <cell r="E10">
            <v>48.6737586109996</v>
          </cell>
          <cell r="F10">
            <v>21.2647313576267</v>
          </cell>
          <cell r="G10">
            <v>0.357449721707294</v>
          </cell>
        </row>
        <row r="10">
          <cell r="I10">
            <v>5.52775005579731</v>
          </cell>
          <cell r="J10">
            <v>6.51625870062227</v>
          </cell>
        </row>
        <row r="10">
          <cell r="P10">
            <v>2.27282977367685</v>
          </cell>
        </row>
        <row r="10">
          <cell r="Z10">
            <v>55.7894838709677</v>
          </cell>
        </row>
        <row r="11">
          <cell r="C11" t="str">
            <v>Apr</v>
          </cell>
          <cell r="D11">
            <v>5.55959300089535</v>
          </cell>
          <cell r="E11">
            <v>46.7119776747392</v>
          </cell>
          <cell r="F11">
            <v>22.4758394279613</v>
          </cell>
          <cell r="G11">
            <v>0</v>
          </cell>
        </row>
        <row r="11">
          <cell r="I11">
            <v>8.35948100537517</v>
          </cell>
          <cell r="J11">
            <v>11.5620605944993</v>
          </cell>
        </row>
        <row r="11">
          <cell r="P11">
            <v>5.33104829652968</v>
          </cell>
        </row>
        <row r="11">
          <cell r="Z11">
            <v>54.1688333333333</v>
          </cell>
        </row>
        <row r="12">
          <cell r="C12" t="str">
            <v>Mai</v>
          </cell>
          <cell r="D12">
            <v>11.9226599245062</v>
          </cell>
          <cell r="E12">
            <v>37.9079899489672</v>
          </cell>
          <cell r="F12">
            <v>21.7525210896173</v>
          </cell>
          <cell r="G12">
            <v>1.23460630122439</v>
          </cell>
        </row>
        <row r="12">
          <cell r="I12">
            <v>6.37604059515267</v>
          </cell>
          <cell r="J12">
            <v>8.88352221602611</v>
          </cell>
        </row>
        <row r="12">
          <cell r="P12">
            <v>11.9226599245062</v>
          </cell>
        </row>
        <row r="12">
          <cell r="Z12">
            <v>58.0778064516129</v>
          </cell>
        </row>
        <row r="13">
          <cell r="C13" t="str">
            <v>Jun</v>
          </cell>
          <cell r="D13">
            <v>9.69767135113644</v>
          </cell>
          <cell r="E13">
            <v>44.0399754201301</v>
          </cell>
          <cell r="F13">
            <v>26.1123610115254</v>
          </cell>
          <cell r="G13">
            <v>1.7189030576683</v>
          </cell>
        </row>
        <row r="13">
          <cell r="I13">
            <v>5.11226286708054</v>
          </cell>
          <cell r="J13">
            <v>7.90081534904103</v>
          </cell>
        </row>
        <row r="13">
          <cell r="P13">
            <v>5.41801094341817</v>
          </cell>
        </row>
        <row r="13">
          <cell r="Z13">
            <v>53.3227666666667</v>
          </cell>
        </row>
        <row r="14">
          <cell r="C14" t="str">
            <v>Jul</v>
          </cell>
          <cell r="D14">
            <v>8.72840243334373</v>
          </cell>
          <cell r="E14">
            <v>39.5563528121177</v>
          </cell>
          <cell r="F14">
            <v>28.9580653427775</v>
          </cell>
          <cell r="G14">
            <v>0.310606051042654</v>
          </cell>
        </row>
        <row r="14">
          <cell r="I14">
            <v>0.608967116533129</v>
          </cell>
          <cell r="J14">
            <v>14.8021046226714</v>
          </cell>
        </row>
        <row r="14">
          <cell r="P14">
            <v>7.03550162151381</v>
          </cell>
        </row>
        <row r="14">
          <cell r="Z14">
            <v>51.1071612903226</v>
          </cell>
        </row>
        <row r="15">
          <cell r="C15" t="str">
            <v>Aug</v>
          </cell>
          <cell r="D15">
            <v>4.49818124142691</v>
          </cell>
          <cell r="E15">
            <v>43.0622537733213</v>
          </cell>
          <cell r="F15">
            <v>28.2638161453241</v>
          </cell>
          <cell r="G15">
            <v>0.114046416833553</v>
          </cell>
        </row>
        <row r="15">
          <cell r="I15">
            <v>2.56345901678394</v>
          </cell>
          <cell r="J15">
            <v>17.208575965197</v>
          </cell>
        </row>
        <row r="15">
          <cell r="P15">
            <v>4.2896674411133</v>
          </cell>
        </row>
        <row r="15">
          <cell r="Z15">
            <v>55.5235161290322</v>
          </cell>
        </row>
        <row r="25">
          <cell r="D25" t="str">
            <v>FOS/TAC</v>
          </cell>
        </row>
        <row r="28">
          <cell r="E28">
            <v>0.219</v>
          </cell>
        </row>
        <row r="29">
          <cell r="E29">
            <v>0.244</v>
          </cell>
        </row>
        <row r="30">
          <cell r="E30">
            <v>0.113</v>
          </cell>
        </row>
        <row r="31">
          <cell r="E31">
            <v>0.112</v>
          </cell>
        </row>
        <row r="32">
          <cell r="E32">
            <v>0.199</v>
          </cell>
        </row>
        <row r="33">
          <cell r="E33">
            <v>0.2285</v>
          </cell>
        </row>
        <row r="34">
          <cell r="E34">
            <v>0.2775</v>
          </cell>
        </row>
        <row r="35">
          <cell r="E35">
            <v>0.245</v>
          </cell>
        </row>
        <row r="36">
          <cell r="E36">
            <v>0.3995</v>
          </cell>
        </row>
        <row r="37">
          <cell r="E37">
            <v>0.3325</v>
          </cell>
        </row>
        <row r="38">
          <cell r="E38">
            <v>0.3225</v>
          </cell>
        </row>
        <row r="39">
          <cell r="E39">
            <v>0.2785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25.1105403348554</v>
          </cell>
          <cell r="I49">
            <v>0</v>
          </cell>
        </row>
        <row r="50">
          <cell r="C50" t="str">
            <v>Okt</v>
          </cell>
        </row>
        <row r="50">
          <cell r="H50">
            <v>21.4694726763883</v>
          </cell>
          <cell r="I50">
            <v>0</v>
          </cell>
        </row>
        <row r="51">
          <cell r="C51" t="str">
            <v>Nov</v>
          </cell>
        </row>
        <row r="51">
          <cell r="H51">
            <v>22.9805936073059</v>
          </cell>
          <cell r="I51">
            <v>0</v>
          </cell>
        </row>
        <row r="52">
          <cell r="C52" t="str">
            <v>Dez</v>
          </cell>
        </row>
        <row r="52">
          <cell r="H52">
            <v>25.7930107526882</v>
          </cell>
          <cell r="I52">
            <v>0</v>
          </cell>
        </row>
        <row r="53">
          <cell r="C53" t="str">
            <v>Jan</v>
          </cell>
        </row>
        <row r="53">
          <cell r="H53">
            <v>25.5525114155251</v>
          </cell>
          <cell r="I53">
            <v>0</v>
          </cell>
        </row>
        <row r="54">
          <cell r="C54" t="str">
            <v>Feb</v>
          </cell>
        </row>
        <row r="54">
          <cell r="H54">
            <v>26.5476190476191</v>
          </cell>
          <cell r="I54">
            <v>0</v>
          </cell>
        </row>
        <row r="55">
          <cell r="C55" t="str">
            <v>Mrz</v>
          </cell>
        </row>
        <row r="55">
          <cell r="H55">
            <v>23.6869515813396</v>
          </cell>
          <cell r="I55">
            <v>0</v>
          </cell>
        </row>
        <row r="56">
          <cell r="C56" t="str">
            <v>Apr</v>
          </cell>
        </row>
        <row r="56">
          <cell r="H56">
            <v>27.5511980163991</v>
          </cell>
          <cell r="I56">
            <v>0</v>
          </cell>
        </row>
        <row r="57">
          <cell r="C57" t="str">
            <v>Mai</v>
          </cell>
        </row>
        <row r="57">
          <cell r="H57">
            <v>23.187865174056</v>
          </cell>
          <cell r="I57">
            <v>0</v>
          </cell>
        </row>
        <row r="58">
          <cell r="C58" t="str">
            <v>Jun</v>
          </cell>
        </row>
        <row r="58">
          <cell r="H58">
            <v>30.4656736387293</v>
          </cell>
          <cell r="I58">
            <v>0</v>
          </cell>
        </row>
        <row r="59">
          <cell r="C59" t="str">
            <v>Jul</v>
          </cell>
        </row>
        <row r="59">
          <cell r="H59">
            <v>24.442449796239</v>
          </cell>
          <cell r="I59">
            <v>0</v>
          </cell>
        </row>
        <row r="60">
          <cell r="C60" t="str">
            <v>Aug</v>
          </cell>
        </row>
        <row r="60">
          <cell r="H60">
            <v>34.0066651936957</v>
          </cell>
          <cell r="I60">
            <v>0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BGA19_Diagramme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Ersterfassung Anlage"/>
      <sheetName val="Pivot BTB Anlage"/>
      <sheetName val="Pivot BTB Substrat"/>
      <sheetName val="Pivot BTB Sonstige Aggregate"/>
      <sheetName val="Pivot BTB BHKW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Getreide insg. Getreide und Getreidekorn</v>
          </cell>
          <cell r="H2" t="str">
            <v>Zuckerrübe</v>
          </cell>
          <cell r="I2" t="str">
            <v>Grassilage</v>
          </cell>
          <cell r="J2" t="str">
            <v>Triticale-Ganzpflanzensilage</v>
          </cell>
        </row>
        <row r="2">
          <cell r="P2" t="str">
            <v>Putenmist</v>
          </cell>
          <cell r="Q2" t="str">
            <v>Weizenkleie</v>
          </cell>
        </row>
        <row r="4">
          <cell r="C4" t="str">
            <v>Sep</v>
          </cell>
          <cell r="D4">
            <v>0</v>
          </cell>
          <cell r="E4">
            <v>0</v>
          </cell>
          <cell r="F4">
            <v>51.4663455749549</v>
          </cell>
          <cell r="G4">
            <v>0</v>
          </cell>
          <cell r="H4">
            <v>0</v>
          </cell>
          <cell r="I4">
            <v>34.5252257676099</v>
          </cell>
          <cell r="J4">
            <v>14.0084286574353</v>
          </cell>
        </row>
        <row r="4">
          <cell r="P4">
            <v>0</v>
          </cell>
          <cell r="Q4">
            <v>0</v>
          </cell>
        </row>
        <row r="4">
          <cell r="Z4">
            <v>34.6041666666667</v>
          </cell>
        </row>
        <row r="5">
          <cell r="C5" t="str">
            <v>Okt</v>
          </cell>
          <cell r="D5">
            <v>0</v>
          </cell>
          <cell r="E5">
            <v>0</v>
          </cell>
          <cell r="F5">
            <v>50.6332227301204</v>
          </cell>
          <cell r="G5">
            <v>0</v>
          </cell>
          <cell r="H5">
            <v>0</v>
          </cell>
          <cell r="I5">
            <v>38.61243241989</v>
          </cell>
          <cell r="J5">
            <v>10.7543448499896</v>
          </cell>
        </row>
        <row r="5">
          <cell r="P5">
            <v>0</v>
          </cell>
          <cell r="Q5">
            <v>0</v>
          </cell>
        </row>
        <row r="5">
          <cell r="Z5">
            <v>34.7556451612903</v>
          </cell>
        </row>
        <row r="6">
          <cell r="C6" t="str">
            <v>Nov</v>
          </cell>
          <cell r="D6">
            <v>0</v>
          </cell>
          <cell r="E6">
            <v>0</v>
          </cell>
          <cell r="F6">
            <v>45.8329462477472</v>
          </cell>
          <cell r="G6">
            <v>2.80838334479107</v>
          </cell>
          <cell r="H6">
            <v>1.8473272514446</v>
          </cell>
          <cell r="I6">
            <v>44.8282269002806</v>
          </cell>
          <cell r="J6">
            <v>5.80767730068189</v>
          </cell>
        </row>
        <row r="6">
          <cell r="P6">
            <v>0</v>
          </cell>
          <cell r="Q6">
            <v>0</v>
          </cell>
        </row>
        <row r="6">
          <cell r="Z6">
            <v>35.8806666666667</v>
          </cell>
        </row>
        <row r="7">
          <cell r="C7" t="str">
            <v>Dez</v>
          </cell>
          <cell r="D7">
            <v>0</v>
          </cell>
          <cell r="E7">
            <v>0</v>
          </cell>
          <cell r="F7">
            <v>41.5538194444445</v>
          </cell>
          <cell r="G7">
            <v>3.20601851851852</v>
          </cell>
          <cell r="H7">
            <v>21.5219907407407</v>
          </cell>
          <cell r="I7">
            <v>26.9710648148148</v>
          </cell>
          <cell r="J7">
            <v>21.5451388888889</v>
          </cell>
        </row>
        <row r="7">
          <cell r="P7">
            <v>0</v>
          </cell>
          <cell r="Q7">
            <v>0</v>
          </cell>
        </row>
        <row r="7">
          <cell r="Z7">
            <v>27.8709677419355</v>
          </cell>
        </row>
        <row r="8">
          <cell r="C8" t="str">
            <v>Jan</v>
          </cell>
          <cell r="D8">
            <v>0</v>
          </cell>
          <cell r="E8">
            <v>0</v>
          </cell>
          <cell r="F8">
            <v>49.020471442162</v>
          </cell>
          <cell r="G8">
            <v>3.54462492512596</v>
          </cell>
          <cell r="H8">
            <v>29.9408054684472</v>
          </cell>
          <cell r="I8">
            <v>13.5830309009549</v>
          </cell>
          <cell r="J8">
            <v>28.5252457630105</v>
          </cell>
        </row>
        <row r="8">
          <cell r="P8">
            <v>0</v>
          </cell>
          <cell r="Q8">
            <v>0</v>
          </cell>
        </row>
        <row r="8">
          <cell r="Z8">
            <v>18.3103225806452</v>
          </cell>
        </row>
        <row r="9">
          <cell r="C9" t="str">
            <v>Feb</v>
          </cell>
          <cell r="D9">
            <v>0</v>
          </cell>
          <cell r="E9">
            <v>0</v>
          </cell>
          <cell r="F9">
            <v>47.3264767569672</v>
          </cell>
          <cell r="G9">
            <v>2.12371402602611</v>
          </cell>
          <cell r="H9">
            <v>9.66721650027736</v>
          </cell>
          <cell r="I9">
            <v>25.9046275304177</v>
          </cell>
          <cell r="J9">
            <v>22.412427898372</v>
          </cell>
        </row>
        <row r="9">
          <cell r="P9">
            <v>0</v>
          </cell>
          <cell r="Q9">
            <v>0</v>
          </cell>
        </row>
        <row r="9">
          <cell r="Z9">
            <v>24.4013214285714</v>
          </cell>
        </row>
        <row r="10">
          <cell r="C10" t="str">
            <v>Mrz</v>
          </cell>
          <cell r="D10">
            <v>0</v>
          </cell>
          <cell r="E10">
            <v>0</v>
          </cell>
          <cell r="F10">
            <v>44.8270585652414</v>
          </cell>
          <cell r="G10">
            <v>6.16189101263381</v>
          </cell>
          <cell r="H10">
            <v>0</v>
          </cell>
          <cell r="I10">
            <v>23.970301574735</v>
          </cell>
          <cell r="J10">
            <v>25.0407488473897</v>
          </cell>
        </row>
        <row r="10">
          <cell r="P10">
            <v>0</v>
          </cell>
          <cell r="Q10">
            <v>0</v>
          </cell>
        </row>
        <row r="10">
          <cell r="Z10">
            <v>24.2437096774193</v>
          </cell>
        </row>
        <row r="11">
          <cell r="C11" t="str">
            <v>Apr</v>
          </cell>
          <cell r="D11">
            <v>0</v>
          </cell>
          <cell r="E11">
            <v>0</v>
          </cell>
          <cell r="F11">
            <v>35.7559998294898</v>
          </cell>
          <cell r="G11">
            <v>5.86661835542862</v>
          </cell>
          <cell r="H11">
            <v>0</v>
          </cell>
          <cell r="I11">
            <v>32.5450786478537</v>
          </cell>
          <cell r="J11">
            <v>25.8323031672279</v>
          </cell>
        </row>
        <row r="11">
          <cell r="P11">
            <v>0</v>
          </cell>
          <cell r="Q11">
            <v>0</v>
          </cell>
        </row>
        <row r="11">
          <cell r="Z11">
            <v>31.2786666666667</v>
          </cell>
        </row>
        <row r="12">
          <cell r="C12" t="str">
            <v>Mai</v>
          </cell>
          <cell r="D12">
            <v>0</v>
          </cell>
          <cell r="E12">
            <v>0</v>
          </cell>
          <cell r="F12">
            <v>37.2377729350133</v>
          </cell>
          <cell r="G12">
            <v>2.82407429198104</v>
          </cell>
          <cell r="H12">
            <v>0</v>
          </cell>
          <cell r="I12">
            <v>31.9793466033446</v>
          </cell>
          <cell r="J12">
            <v>27.958806169661</v>
          </cell>
        </row>
        <row r="12">
          <cell r="P12">
            <v>0</v>
          </cell>
          <cell r="Q12">
            <v>0</v>
          </cell>
        </row>
        <row r="12">
          <cell r="Z12">
            <v>34.2675806451613</v>
          </cell>
        </row>
        <row r="13">
          <cell r="C13" t="str">
            <v>Jun</v>
          </cell>
          <cell r="D13">
            <v>0</v>
          </cell>
          <cell r="E13">
            <v>0</v>
          </cell>
          <cell r="F13">
            <v>41.7511319788461</v>
          </cell>
          <cell r="G13">
            <v>0.351382459271579</v>
          </cell>
          <cell r="H13">
            <v>0</v>
          </cell>
          <cell r="I13">
            <v>24.9364925641793</v>
          </cell>
          <cell r="J13">
            <v>32.9609929977031</v>
          </cell>
        </row>
        <row r="13">
          <cell r="P13">
            <v>0</v>
          </cell>
          <cell r="Q13">
            <v>0</v>
          </cell>
        </row>
        <row r="13">
          <cell r="Z13">
            <v>32.8701666666667</v>
          </cell>
        </row>
        <row r="14">
          <cell r="C14" t="str">
            <v>Jul</v>
          </cell>
          <cell r="D14">
            <v>0</v>
          </cell>
          <cell r="E14">
            <v>0</v>
          </cell>
          <cell r="F14">
            <v>43.3072633724532</v>
          </cell>
          <cell r="G14">
            <v>1.70651988470552</v>
          </cell>
          <cell r="H14">
            <v>0</v>
          </cell>
          <cell r="I14">
            <v>17.0396077832751</v>
          </cell>
          <cell r="J14">
            <v>37.9466089595661</v>
          </cell>
        </row>
        <row r="14">
          <cell r="P14">
            <v>0</v>
          </cell>
          <cell r="Q14">
            <v>0</v>
          </cell>
        </row>
        <row r="14">
          <cell r="Z14">
            <v>35.9248387096774</v>
          </cell>
        </row>
        <row r="15">
          <cell r="C15" t="str">
            <v>Aug</v>
          </cell>
          <cell r="D15">
            <v>0</v>
          </cell>
          <cell r="E15">
            <v>0</v>
          </cell>
          <cell r="F15">
            <v>56.3884322916413</v>
          </cell>
          <cell r="G15">
            <v>0.749686614411347</v>
          </cell>
          <cell r="H15">
            <v>0</v>
          </cell>
          <cell r="I15">
            <v>18.362688336203</v>
          </cell>
          <cell r="J15">
            <v>24.4991927577444</v>
          </cell>
        </row>
        <row r="15">
          <cell r="P15">
            <v>0</v>
          </cell>
          <cell r="Q15">
            <v>0</v>
          </cell>
        </row>
        <row r="15">
          <cell r="Z15">
            <v>33.0675806451613</v>
          </cell>
        </row>
        <row r="25">
          <cell r="D25" t="str">
            <v>FOS/TAC</v>
          </cell>
        </row>
        <row r="28">
          <cell r="E28">
            <v>0.284</v>
          </cell>
        </row>
        <row r="29">
          <cell r="E29">
            <v>0.132</v>
          </cell>
        </row>
        <row r="30">
          <cell r="E30">
            <v>0.211</v>
          </cell>
        </row>
        <row r="31">
          <cell r="E31">
            <v>0.2323</v>
          </cell>
        </row>
        <row r="32">
          <cell r="E32">
            <v>0.223</v>
          </cell>
        </row>
        <row r="33">
          <cell r="E33">
            <v>0.173</v>
          </cell>
        </row>
        <row r="34">
          <cell r="E34">
            <v>0.242</v>
          </cell>
        </row>
        <row r="35">
          <cell r="E35">
            <v>0.232</v>
          </cell>
        </row>
        <row r="36">
          <cell r="E36">
            <v>0.244</v>
          </cell>
        </row>
        <row r="37">
          <cell r="E37">
            <v>0.278</v>
          </cell>
        </row>
        <row r="38">
          <cell r="E38">
            <v>0.237</v>
          </cell>
        </row>
        <row r="39">
          <cell r="E39">
            <v>0.251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69.0677192982456</v>
          </cell>
          <cell r="I49">
            <v>62.9172570551423</v>
          </cell>
        </row>
        <row r="50">
          <cell r="C50" t="str">
            <v>Okt</v>
          </cell>
        </row>
        <row r="50">
          <cell r="H50">
            <v>69.323241571671</v>
          </cell>
          <cell r="I50">
            <v>66.6715230879984</v>
          </cell>
        </row>
        <row r="51">
          <cell r="C51" t="str">
            <v>Nov</v>
          </cell>
        </row>
        <row r="51">
          <cell r="H51">
            <v>75.1581833616298</v>
          </cell>
          <cell r="I51">
            <v>75.379176998465</v>
          </cell>
        </row>
        <row r="52">
          <cell r="C52" t="str">
            <v>Dez</v>
          </cell>
        </row>
        <row r="52">
          <cell r="H52">
            <v>69.280050933786</v>
          </cell>
          <cell r="I52">
            <v>68.613948784752</v>
          </cell>
        </row>
        <row r="53">
          <cell r="C53" t="str">
            <v>Jan</v>
          </cell>
        </row>
        <row r="53">
          <cell r="H53">
            <v>47.1338709677421</v>
          </cell>
          <cell r="I53">
            <v>45.8093368985179</v>
          </cell>
        </row>
        <row r="54">
          <cell r="C54" t="str">
            <v>Feb</v>
          </cell>
        </row>
        <row r="54">
          <cell r="H54">
            <v>56.8765037593987</v>
          </cell>
          <cell r="I54">
            <v>59.7986564445119</v>
          </cell>
        </row>
        <row r="55">
          <cell r="C55" t="str">
            <v>Mrz</v>
          </cell>
        </row>
        <row r="55">
          <cell r="H55">
            <v>58.0568760611206</v>
          </cell>
          <cell r="I55">
            <v>61.0936375167118</v>
          </cell>
        </row>
        <row r="56">
          <cell r="C56" t="str">
            <v>Apr</v>
          </cell>
        </row>
        <row r="56">
          <cell r="H56">
            <v>71.2523684210526</v>
          </cell>
          <cell r="I56">
            <v>71.2350926909907</v>
          </cell>
        </row>
        <row r="57">
          <cell r="C57" t="str">
            <v>Mai</v>
          </cell>
        </row>
        <row r="57">
          <cell r="H57">
            <v>75.9718166383702</v>
          </cell>
          <cell r="I57">
            <v>73.1007107515455</v>
          </cell>
        </row>
        <row r="58">
          <cell r="C58" t="str">
            <v>Jun</v>
          </cell>
        </row>
        <row r="58">
          <cell r="H58">
            <v>73.2789473684211</v>
          </cell>
          <cell r="I58">
            <v>66.4953064116188</v>
          </cell>
        </row>
        <row r="59">
          <cell r="C59" t="str">
            <v>Jul</v>
          </cell>
        </row>
        <row r="59">
          <cell r="H59">
            <v>78.4583191850597</v>
          </cell>
          <cell r="I59">
            <v>64.8246546227418</v>
          </cell>
        </row>
        <row r="60">
          <cell r="C60" t="str">
            <v>Aug</v>
          </cell>
        </row>
        <row r="60">
          <cell r="H60">
            <v>75.6095925297114</v>
          </cell>
          <cell r="I60">
            <v>71.9685932375761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BGA 20_Diagramme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onstige Aggregate"/>
      <sheetName val="Abfrage Labordaten"/>
      <sheetName val="Rechnung"/>
      <sheetName val="Datenblatt neu"/>
      <sheetName val="Validierung"/>
      <sheetName val="Pivot BTB Substrat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Getreide insg. Getreide und Getreidekorn</v>
          </cell>
          <cell r="H2" t="str">
            <v>Zuckerrübe</v>
          </cell>
          <cell r="I2" t="str">
            <v>Grassilage</v>
          </cell>
          <cell r="J2" t="str">
            <v>Triticale-Ganzpflanzensilage</v>
          </cell>
        </row>
        <row r="2">
          <cell r="P2" t="str">
            <v>Putenmist</v>
          </cell>
          <cell r="Q2" t="str">
            <v>Weizenkleie</v>
          </cell>
        </row>
        <row r="4">
          <cell r="C4" t="str">
            <v>Sep</v>
          </cell>
          <cell r="D4">
            <v>1.78382161276745</v>
          </cell>
          <cell r="E4">
            <v>33.4704268493679</v>
          </cell>
          <cell r="F4">
            <v>31.1987484088869</v>
          </cell>
          <cell r="G4">
            <v>0</v>
          </cell>
          <cell r="H4">
            <v>0</v>
          </cell>
          <cell r="I4">
            <v>24.1172174918479</v>
          </cell>
          <cell r="J4">
            <v>9.42978563712986</v>
          </cell>
        </row>
        <row r="4">
          <cell r="P4">
            <v>0</v>
          </cell>
          <cell r="Q4">
            <v>0</v>
          </cell>
        </row>
        <row r="4">
          <cell r="Z4">
            <v>65.7296666666667</v>
          </cell>
        </row>
        <row r="5">
          <cell r="C5" t="str">
            <v>Okt</v>
          </cell>
          <cell r="D5">
            <v>0.0712879171015678</v>
          </cell>
          <cell r="E5">
            <v>33.895386999236</v>
          </cell>
          <cell r="F5">
            <v>34.6314011169337</v>
          </cell>
          <cell r="G5">
            <v>0</v>
          </cell>
          <cell r="H5">
            <v>0</v>
          </cell>
          <cell r="I5">
            <v>24.4617089731312</v>
          </cell>
          <cell r="J5">
            <v>6.94021499359754</v>
          </cell>
        </row>
        <row r="5">
          <cell r="P5">
            <v>0</v>
          </cell>
          <cell r="Q5">
            <v>0</v>
          </cell>
        </row>
        <row r="5">
          <cell r="Z5">
            <v>59.9567741935484</v>
          </cell>
        </row>
        <row r="6">
          <cell r="C6" t="str">
            <v>Nov</v>
          </cell>
          <cell r="D6">
            <v>1.79698868351112</v>
          </cell>
          <cell r="E6">
            <v>24.9540004569889</v>
          </cell>
          <cell r="F6">
            <v>34.0916743833656</v>
          </cell>
          <cell r="G6">
            <v>1.77173403244621</v>
          </cell>
          <cell r="H6">
            <v>2.4800668646952</v>
          </cell>
          <cell r="I6">
            <v>31.4835303596984</v>
          </cell>
          <cell r="J6">
            <v>3.42200521929455</v>
          </cell>
        </row>
        <row r="6">
          <cell r="P6">
            <v>0</v>
          </cell>
          <cell r="Q6">
            <v>0</v>
          </cell>
        </row>
        <row r="6">
          <cell r="Z6">
            <v>55.4353333333333</v>
          </cell>
        </row>
        <row r="7">
          <cell r="C7" t="str">
            <v>Dez</v>
          </cell>
          <cell r="D7">
            <v>3.10385089702959</v>
          </cell>
          <cell r="E7">
            <v>31.9928248570577</v>
          </cell>
          <cell r="F7">
            <v>23.7963725058585</v>
          </cell>
          <cell r="G7">
            <v>1.68304134183923</v>
          </cell>
          <cell r="H7">
            <v>9.80785164079441</v>
          </cell>
          <cell r="I7">
            <v>16.99776050226</v>
          </cell>
          <cell r="J7">
            <v>12.6182982551605</v>
          </cell>
        </row>
        <row r="7">
          <cell r="P7">
            <v>0</v>
          </cell>
          <cell r="Q7">
            <v>0</v>
          </cell>
        </row>
        <row r="7">
          <cell r="Z7">
            <v>58.985</v>
          </cell>
        </row>
        <row r="8">
          <cell r="C8" t="str">
            <v>Jan</v>
          </cell>
          <cell r="D8">
            <v>4.33907350510093</v>
          </cell>
          <cell r="E8">
            <v>29.4323957354817</v>
          </cell>
          <cell r="F8">
            <v>25.0124087800836</v>
          </cell>
          <cell r="G8">
            <v>2.50124087800836</v>
          </cell>
          <cell r="H8">
            <v>14.1103725095271</v>
          </cell>
          <cell r="I8">
            <v>13.918087694182</v>
          </cell>
          <cell r="J8">
            <v>10.6864208976163</v>
          </cell>
        </row>
        <row r="8">
          <cell r="P8">
            <v>0</v>
          </cell>
          <cell r="Q8">
            <v>0</v>
          </cell>
        </row>
        <row r="8">
          <cell r="Z8">
            <v>62.9107096774194</v>
          </cell>
        </row>
        <row r="9">
          <cell r="C9" t="str">
            <v>Feb</v>
          </cell>
          <cell r="D9">
            <v>6.63178213141446</v>
          </cell>
          <cell r="E9">
            <v>28.2315247649561</v>
          </cell>
          <cell r="F9">
            <v>29.9877882241714</v>
          </cell>
          <cell r="G9">
            <v>2.98761752192867</v>
          </cell>
          <cell r="H9">
            <v>4.52951835705657</v>
          </cell>
          <cell r="I9">
            <v>14.508705814381</v>
          </cell>
          <cell r="J9">
            <v>13.1230631860917</v>
          </cell>
        </row>
        <row r="9">
          <cell r="P9">
            <v>0</v>
          </cell>
          <cell r="Q9">
            <v>0</v>
          </cell>
        </row>
        <row r="9">
          <cell r="Z9">
            <v>54.3971428571429</v>
          </cell>
        </row>
        <row r="10">
          <cell r="C10" t="str">
            <v>Mrz</v>
          </cell>
          <cell r="D10">
            <v>6.27523791574192</v>
          </cell>
          <cell r="E10">
            <v>28.3963279986087</v>
          </cell>
          <cell r="F10">
            <v>30.0022981043078</v>
          </cell>
          <cell r="G10">
            <v>4.60967057844081</v>
          </cell>
          <cell r="H10">
            <v>0.00460967057844081</v>
          </cell>
          <cell r="I10">
            <v>16.5494500719793</v>
          </cell>
          <cell r="J10">
            <v>14.1624056603431</v>
          </cell>
        </row>
        <row r="10">
          <cell r="P10">
            <v>0</v>
          </cell>
          <cell r="Q10">
            <v>0</v>
          </cell>
        </row>
        <row r="10">
          <cell r="Z10">
            <v>46.0077659677419</v>
          </cell>
        </row>
        <row r="11">
          <cell r="C11" t="str">
            <v>Apr</v>
          </cell>
          <cell r="D11">
            <v>6.39834060479902</v>
          </cell>
          <cell r="E11">
            <v>33.2337733407714</v>
          </cell>
          <cell r="F11">
            <v>23.1686397440406</v>
          </cell>
          <cell r="G11">
            <v>3.26865910120294</v>
          </cell>
          <cell r="H11">
            <v>0.00326865910120294</v>
          </cell>
          <cell r="I11">
            <v>19.0590654689121</v>
          </cell>
          <cell r="J11">
            <v>14.8682530811728</v>
          </cell>
        </row>
        <row r="11">
          <cell r="P11">
            <v>0</v>
          </cell>
          <cell r="Q11">
            <v>0</v>
          </cell>
        </row>
        <row r="11">
          <cell r="Z11">
            <v>49.6482895</v>
          </cell>
        </row>
        <row r="12">
          <cell r="C12" t="str">
            <v>Mai</v>
          </cell>
          <cell r="D12">
            <v>7.3631175258656</v>
          </cell>
          <cell r="E12">
            <v>29.7449622320778</v>
          </cell>
          <cell r="F12">
            <v>22.4723189663348</v>
          </cell>
          <cell r="G12">
            <v>1.46493938992983</v>
          </cell>
          <cell r="H12">
            <v>0.00146493938992983</v>
          </cell>
          <cell r="I12">
            <v>21.1096278840777</v>
          </cell>
          <cell r="J12">
            <v>17.8435690623243</v>
          </cell>
        </row>
        <row r="12">
          <cell r="P12">
            <v>0</v>
          </cell>
          <cell r="Q12">
            <v>0</v>
          </cell>
        </row>
        <row r="12">
          <cell r="Z12">
            <v>52.05544</v>
          </cell>
        </row>
        <row r="13">
          <cell r="C13" t="str">
            <v>Jun</v>
          </cell>
          <cell r="D13">
            <v>3.5593410269047</v>
          </cell>
          <cell r="E13">
            <v>30.6993908701377</v>
          </cell>
          <cell r="F13">
            <v>24.3994585903115</v>
          </cell>
          <cell r="G13">
            <v>0.161842419829949</v>
          </cell>
          <cell r="H13">
            <v>0.000161842419829949</v>
          </cell>
          <cell r="I13">
            <v>17.6548322213761</v>
          </cell>
          <cell r="J13">
            <v>23.5249730290203</v>
          </cell>
        </row>
        <row r="13">
          <cell r="P13">
            <v>0</v>
          </cell>
          <cell r="Q13">
            <v>0</v>
          </cell>
        </row>
        <row r="13">
          <cell r="Z13">
            <v>55.9185905</v>
          </cell>
        </row>
        <row r="14">
          <cell r="C14" t="str">
            <v>Jul</v>
          </cell>
          <cell r="D14">
            <v>4.71045460763181</v>
          </cell>
          <cell r="E14">
            <v>29.5700657447763</v>
          </cell>
          <cell r="F14">
            <v>29.5857037603144</v>
          </cell>
          <cell r="G14">
            <v>0.861512492371847</v>
          </cell>
          <cell r="H14">
            <v>0.000861512492371847</v>
          </cell>
          <cell r="I14">
            <v>9.41522266415886</v>
          </cell>
          <cell r="J14">
            <v>25.8561792182545</v>
          </cell>
        </row>
        <row r="14">
          <cell r="P14">
            <v>0</v>
          </cell>
          <cell r="Q14">
            <v>0</v>
          </cell>
        </row>
        <row r="14">
          <cell r="Z14">
            <v>56.7269403225806</v>
          </cell>
        </row>
        <row r="15">
          <cell r="C15" t="str">
            <v>Aug</v>
          </cell>
          <cell r="D15">
            <v>4.33156250518595</v>
          </cell>
          <cell r="E15">
            <v>22.7144492938814</v>
          </cell>
          <cell r="F15">
            <v>28.4329934117725</v>
          </cell>
          <cell r="G15">
            <v>22.7144492938814</v>
          </cell>
          <cell r="H15">
            <v>0.0227144492938814</v>
          </cell>
          <cell r="I15">
            <v>9.78691979621301</v>
          </cell>
          <cell r="J15">
            <v>11.9969112497718</v>
          </cell>
        </row>
        <row r="15">
          <cell r="P15">
            <v>0</v>
          </cell>
          <cell r="Q15">
            <v>0</v>
          </cell>
        </row>
        <row r="15">
          <cell r="Z15">
            <v>62.2028387096774</v>
          </cell>
        </row>
        <row r="25">
          <cell r="D25" t="str">
            <v>FOS/TAC</v>
          </cell>
        </row>
        <row r="28">
          <cell r="E28">
            <v>0.284</v>
          </cell>
        </row>
        <row r="29">
          <cell r="E29">
            <v>0.215</v>
          </cell>
        </row>
        <row r="30">
          <cell r="E30">
            <v>0.26</v>
          </cell>
        </row>
        <row r="31">
          <cell r="E31">
            <v>0.239</v>
          </cell>
        </row>
        <row r="32">
          <cell r="E32">
            <v>0.223</v>
          </cell>
        </row>
        <row r="33">
          <cell r="E33">
            <v>0.228</v>
          </cell>
        </row>
        <row r="34">
          <cell r="E34">
            <v>0.264</v>
          </cell>
        </row>
        <row r="35">
          <cell r="E35">
            <v>0.256</v>
          </cell>
        </row>
        <row r="36">
          <cell r="E36">
            <v>0.281</v>
          </cell>
        </row>
        <row r="37">
          <cell r="E37">
            <v>0.317</v>
          </cell>
        </row>
        <row r="38">
          <cell r="E38">
            <v>0.253</v>
          </cell>
        </row>
        <row r="39">
          <cell r="E39">
            <v>0.241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50">
          <cell r="C50" t="str">
            <v>Okt</v>
          </cell>
        </row>
        <row r="51">
          <cell r="C51" t="str">
            <v>Nov</v>
          </cell>
        </row>
        <row r="52">
          <cell r="C52" t="str">
            <v>Dez</v>
          </cell>
        </row>
        <row r="53">
          <cell r="C53" t="str">
            <v>Jan</v>
          </cell>
        </row>
        <row r="54">
          <cell r="C54" t="str">
            <v>Feb</v>
          </cell>
        </row>
        <row r="55">
          <cell r="C55" t="str">
            <v>Mrz</v>
          </cell>
        </row>
        <row r="56">
          <cell r="C56" t="str">
            <v>Apr</v>
          </cell>
        </row>
        <row r="57">
          <cell r="C57" t="str">
            <v>Mai</v>
          </cell>
        </row>
        <row r="58">
          <cell r="C58" t="str">
            <v>Jun</v>
          </cell>
        </row>
        <row r="59">
          <cell r="C59" t="str">
            <v>Jul</v>
          </cell>
        </row>
        <row r="60">
          <cell r="C60" t="str">
            <v>Aug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BGA 21_Diagramme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Weizen Getreide und Getreidekorn</v>
          </cell>
          <cell r="H2" t="str">
            <v>Zuckerhirse</v>
          </cell>
          <cell r="I2" t="str">
            <v>Grassilage</v>
          </cell>
          <cell r="J2" t="str">
            <v>Triticale-Ganzpflanzensilage</v>
          </cell>
        </row>
        <row r="4">
          <cell r="C4" t="str">
            <v>Sep</v>
          </cell>
          <cell r="D4">
            <v>36.2108922363847</v>
          </cell>
          <cell r="E4">
            <v>0</v>
          </cell>
          <cell r="F4">
            <v>3.33140208574739</v>
          </cell>
          <cell r="G4">
            <v>4.25840092699884</v>
          </cell>
          <cell r="H4">
            <v>0</v>
          </cell>
          <cell r="I4">
            <v>29.837775202781</v>
          </cell>
          <cell r="J4">
            <v>26.3615295480881</v>
          </cell>
        </row>
        <row r="4">
          <cell r="Z4">
            <v>23.0133333333333</v>
          </cell>
        </row>
        <row r="5">
          <cell r="C5" t="str">
            <v>Okt</v>
          </cell>
          <cell r="D5">
            <v>36.0972122944961</v>
          </cell>
          <cell r="E5">
            <v>0</v>
          </cell>
          <cell r="F5">
            <v>13.0807719799857</v>
          </cell>
          <cell r="G5">
            <v>4.90350250178699</v>
          </cell>
          <cell r="H5">
            <v>0</v>
          </cell>
          <cell r="I5">
            <v>21.4438884917798</v>
          </cell>
          <cell r="J5">
            <v>24.4746247319514</v>
          </cell>
        </row>
        <row r="5">
          <cell r="Z5">
            <v>22.5645161290323</v>
          </cell>
        </row>
        <row r="6">
          <cell r="C6" t="str">
            <v>Nov</v>
          </cell>
          <cell r="D6">
            <v>36.9889682024659</v>
          </cell>
          <cell r="E6">
            <v>0</v>
          </cell>
          <cell r="F6">
            <v>18.7378325762492</v>
          </cell>
          <cell r="G6">
            <v>7.44646333549643</v>
          </cell>
          <cell r="H6">
            <v>0</v>
          </cell>
          <cell r="I6">
            <v>15.8176508760545</v>
          </cell>
          <cell r="J6">
            <v>21.0090850097339</v>
          </cell>
        </row>
        <row r="6">
          <cell r="Z6">
            <v>20.5466666666667</v>
          </cell>
        </row>
        <row r="7">
          <cell r="C7" t="str">
            <v>Dez</v>
          </cell>
          <cell r="D7">
            <v>36.9127516778523</v>
          </cell>
          <cell r="E7">
            <v>0</v>
          </cell>
          <cell r="F7">
            <v>0</v>
          </cell>
          <cell r="G7">
            <v>7.18263601313723</v>
          </cell>
          <cell r="H7">
            <v>17.4925032129088</v>
          </cell>
          <cell r="I7">
            <v>20.7054119663002</v>
          </cell>
          <cell r="J7">
            <v>17.7066971298015</v>
          </cell>
        </row>
        <row r="7">
          <cell r="Z7">
            <v>22.5903225806452</v>
          </cell>
        </row>
        <row r="8">
          <cell r="C8" t="str">
            <v>Jan</v>
          </cell>
          <cell r="D8">
            <v>36.8958573072497</v>
          </cell>
          <cell r="E8">
            <v>0</v>
          </cell>
          <cell r="F8">
            <v>0</v>
          </cell>
          <cell r="G8">
            <v>6.57364787111623</v>
          </cell>
          <cell r="H8">
            <v>21.5765247410817</v>
          </cell>
          <cell r="I8">
            <v>17.4050632911392</v>
          </cell>
          <cell r="J8">
            <v>17.5489067894131</v>
          </cell>
        </row>
        <row r="8">
          <cell r="Z8">
            <v>22.4258064516129</v>
          </cell>
        </row>
        <row r="9">
          <cell r="C9" t="str">
            <v>Feb</v>
          </cell>
          <cell r="D9">
            <v>36.7804717136731</v>
          </cell>
          <cell r="E9">
            <v>0</v>
          </cell>
          <cell r="F9">
            <v>0</v>
          </cell>
          <cell r="G9">
            <v>6.64687448457859</v>
          </cell>
          <cell r="H9">
            <v>18.1428335807356</v>
          </cell>
          <cell r="I9">
            <v>17.4830941777998</v>
          </cell>
          <cell r="J9">
            <v>20.9467260432129</v>
          </cell>
        </row>
        <row r="9">
          <cell r="Z9">
            <v>21.6535714285714</v>
          </cell>
        </row>
        <row r="10">
          <cell r="C10" t="str">
            <v>Mrz</v>
          </cell>
          <cell r="D10">
            <v>38.3046897757064</v>
          </cell>
          <cell r="E10">
            <v>0</v>
          </cell>
          <cell r="F10">
            <v>13.035246140402</v>
          </cell>
          <cell r="G10">
            <v>4.82085639382464</v>
          </cell>
          <cell r="H10">
            <v>5.68016312263327</v>
          </cell>
          <cell r="I10">
            <v>17.1861345761725</v>
          </cell>
          <cell r="J10">
            <v>20.9729099912613</v>
          </cell>
        </row>
        <row r="10">
          <cell r="Z10">
            <v>22.1483870967742</v>
          </cell>
        </row>
        <row r="11">
          <cell r="C11" t="str">
            <v>Apr</v>
          </cell>
          <cell r="D11">
            <v>32.9411764705882</v>
          </cell>
          <cell r="E11">
            <v>0</v>
          </cell>
          <cell r="F11">
            <v>27.3356401384083</v>
          </cell>
          <cell r="G11">
            <v>4.01384083044983</v>
          </cell>
          <cell r="H11">
            <v>0</v>
          </cell>
          <cell r="I11">
            <v>16.0553633217993</v>
          </cell>
          <cell r="J11">
            <v>19.6539792387543</v>
          </cell>
        </row>
        <row r="11">
          <cell r="Z11">
            <v>24.0833333333333</v>
          </cell>
        </row>
        <row r="12">
          <cell r="C12" t="str">
            <v>Mai</v>
          </cell>
          <cell r="D12">
            <v>42.2608695652174</v>
          </cell>
          <cell r="E12">
            <v>0</v>
          </cell>
          <cell r="F12">
            <v>26.8695652173913</v>
          </cell>
          <cell r="G12">
            <v>1.1304347826087</v>
          </cell>
          <cell r="H12">
            <v>0</v>
          </cell>
          <cell r="I12">
            <v>24.1739130434783</v>
          </cell>
          <cell r="J12">
            <v>5.56521739130435</v>
          </cell>
        </row>
        <row r="12">
          <cell r="Z12">
            <v>18.5483870967742</v>
          </cell>
        </row>
        <row r="13">
          <cell r="C13" t="str">
            <v>Jun</v>
          </cell>
          <cell r="D13">
            <v>42.0408163265306</v>
          </cell>
          <cell r="E13">
            <v>0</v>
          </cell>
          <cell r="F13">
            <v>10.9183673469388</v>
          </cell>
          <cell r="G13">
            <v>0.306122448979592</v>
          </cell>
          <cell r="H13">
            <v>0</v>
          </cell>
          <cell r="I13">
            <v>32.2448979591837</v>
          </cell>
          <cell r="J13">
            <v>14.4897959183674</v>
          </cell>
        </row>
        <row r="13">
          <cell r="Z13">
            <v>16.3333333333333</v>
          </cell>
        </row>
        <row r="14">
          <cell r="C14" t="str">
            <v>Jul</v>
          </cell>
          <cell r="D14">
            <v>38.6651692603883</v>
          </cell>
          <cell r="E14">
            <v>0</v>
          </cell>
          <cell r="F14">
            <v>0</v>
          </cell>
          <cell r="G14">
            <v>4.70078613829617</v>
          </cell>
          <cell r="H14">
            <v>0</v>
          </cell>
          <cell r="I14">
            <v>29.4400770094657</v>
          </cell>
          <cell r="J14">
            <v>27.1939675918498</v>
          </cell>
        </row>
        <row r="14">
          <cell r="Z14">
            <v>20.1064516129032</v>
          </cell>
        </row>
        <row r="15">
          <cell r="C15" t="str">
            <v>Aug</v>
          </cell>
          <cell r="D15">
            <v>39.5348837209302</v>
          </cell>
          <cell r="E15">
            <v>0</v>
          </cell>
          <cell r="F15">
            <v>0.750187546886722</v>
          </cell>
          <cell r="G15">
            <v>4.65116279069767</v>
          </cell>
          <cell r="H15">
            <v>0</v>
          </cell>
          <cell r="I15">
            <v>27.906976744186</v>
          </cell>
          <cell r="J15">
            <v>27.1567891972993</v>
          </cell>
        </row>
        <row r="15">
          <cell r="Z15">
            <v>21.5</v>
          </cell>
        </row>
        <row r="25">
          <cell r="D25" t="str">
            <v>FOS/TAC</v>
          </cell>
        </row>
        <row r="28">
          <cell r="E28">
            <v>0.266</v>
          </cell>
        </row>
        <row r="29">
          <cell r="E29">
            <v>0.211</v>
          </cell>
        </row>
        <row r="30">
          <cell r="E30">
            <v>0.107</v>
          </cell>
        </row>
        <row r="31">
          <cell r="E31">
            <v>0.216</v>
          </cell>
        </row>
        <row r="32">
          <cell r="E32">
            <v>0.159</v>
          </cell>
        </row>
        <row r="33">
          <cell r="E33">
            <v>0.231</v>
          </cell>
        </row>
        <row r="34">
          <cell r="E34">
            <v>0.237</v>
          </cell>
        </row>
        <row r="35">
          <cell r="E35">
            <v>0.243</v>
          </cell>
        </row>
        <row r="36">
          <cell r="E36">
            <v>0</v>
          </cell>
        </row>
        <row r="37">
          <cell r="E37">
            <v>0</v>
          </cell>
        </row>
        <row r="38">
          <cell r="E38">
            <v>0.299</v>
          </cell>
        </row>
        <row r="39">
          <cell r="E39">
            <v>0.216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92.9765168128655</v>
          </cell>
          <cell r="I49">
            <v>0</v>
          </cell>
        </row>
        <row r="50">
          <cell r="C50" t="str">
            <v>Okt</v>
          </cell>
        </row>
        <row r="50">
          <cell r="H50">
            <v>91.4134457236842</v>
          </cell>
          <cell r="I50">
            <v>0</v>
          </cell>
        </row>
        <row r="51">
          <cell r="C51" t="str">
            <v>Nov</v>
          </cell>
        </row>
        <row r="51">
          <cell r="H51">
            <v>89.7773665935673</v>
          </cell>
          <cell r="I51">
            <v>0</v>
          </cell>
        </row>
        <row r="52">
          <cell r="C52" t="str">
            <v>Dez</v>
          </cell>
        </row>
        <row r="52">
          <cell r="H52">
            <v>90.0907574926901</v>
          </cell>
          <cell r="I52">
            <v>0</v>
          </cell>
        </row>
        <row r="53">
          <cell r="C53" t="str">
            <v>Jan</v>
          </cell>
        </row>
        <row r="53">
          <cell r="H53">
            <v>87.5649899488304</v>
          </cell>
          <cell r="I53">
            <v>0</v>
          </cell>
        </row>
        <row r="54">
          <cell r="C54" t="str">
            <v>Feb</v>
          </cell>
        </row>
        <row r="54">
          <cell r="H54">
            <v>88.3540981359649</v>
          </cell>
          <cell r="I54">
            <v>0</v>
          </cell>
        </row>
        <row r="55">
          <cell r="C55" t="str">
            <v>Mrz</v>
          </cell>
        </row>
        <row r="55">
          <cell r="H55">
            <v>91.5140259502924</v>
          </cell>
          <cell r="I55">
            <v>0</v>
          </cell>
        </row>
        <row r="56">
          <cell r="C56" t="str">
            <v>Apr</v>
          </cell>
        </row>
        <row r="56">
          <cell r="H56">
            <v>87.6247944078947</v>
          </cell>
          <cell r="I56">
            <v>0</v>
          </cell>
        </row>
        <row r="57">
          <cell r="C57" t="str">
            <v>Mai</v>
          </cell>
        </row>
        <row r="57">
          <cell r="H57">
            <v>76.7186357821637</v>
          </cell>
          <cell r="I57">
            <v>0</v>
          </cell>
        </row>
        <row r="58">
          <cell r="C58" t="str">
            <v>Jun</v>
          </cell>
        </row>
        <row r="58">
          <cell r="H58">
            <v>73.4037600511696</v>
          </cell>
          <cell r="I58">
            <v>0</v>
          </cell>
        </row>
        <row r="59">
          <cell r="C59" t="str">
            <v>Jul</v>
          </cell>
        </row>
        <row r="59">
          <cell r="H59">
            <v>83.7479897660819</v>
          </cell>
          <cell r="I59">
            <v>0</v>
          </cell>
        </row>
        <row r="60">
          <cell r="C60" t="str">
            <v>Aug</v>
          </cell>
        </row>
        <row r="60">
          <cell r="H60">
            <v>86.9048108552632</v>
          </cell>
          <cell r="I60">
            <v>0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BGA 22_Diagramme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Getreide insg. Getreide und Getreidekorn</v>
          </cell>
        </row>
        <row r="2">
          <cell r="I2" t="str">
            <v>Grassilage</v>
          </cell>
          <cell r="J2" t="str">
            <v>Anwelksilage</v>
          </cell>
        </row>
        <row r="2">
          <cell r="R2" t="str">
            <v>Roggen-Ganzpflanzensilage</v>
          </cell>
        </row>
        <row r="3">
          <cell r="AJ3" t="str">
            <v>Okt</v>
          </cell>
        </row>
        <row r="4">
          <cell r="D4">
            <v>0</v>
          </cell>
          <cell r="E4">
            <v>37.9541432320048</v>
          </cell>
          <cell r="F4">
            <v>21.2571249593278</v>
          </cell>
          <cell r="G4">
            <v>0</v>
          </cell>
        </row>
        <row r="4">
          <cell r="I4">
            <v>31.2928855142435</v>
          </cell>
          <cell r="J4">
            <v>1.46320325828712</v>
          </cell>
        </row>
        <row r="4">
          <cell r="R4">
            <v>8.03264303613681</v>
          </cell>
        </row>
        <row r="4">
          <cell r="Z4">
            <v>150.696766666667</v>
          </cell>
        </row>
        <row r="4">
          <cell r="AJ4" t="str">
            <v>Nov</v>
          </cell>
        </row>
        <row r="5">
          <cell r="D5">
            <v>0</v>
          </cell>
          <cell r="E5">
            <v>36.358972757647</v>
          </cell>
          <cell r="F5">
            <v>22.2263608909191</v>
          </cell>
          <cell r="G5">
            <v>0</v>
          </cell>
        </row>
        <row r="5">
          <cell r="I5">
            <v>26.5988767603592</v>
          </cell>
          <cell r="J5">
            <v>0.37649493917644</v>
          </cell>
        </row>
        <row r="5">
          <cell r="R5">
            <v>14.4392946518983</v>
          </cell>
        </row>
        <row r="5">
          <cell r="Z5">
            <v>144.627741935484</v>
          </cell>
        </row>
        <row r="5">
          <cell r="AJ5" t="str">
            <v>Dez</v>
          </cell>
        </row>
        <row r="6">
          <cell r="D6">
            <v>0</v>
          </cell>
          <cell r="E6">
            <v>35.5909595840715</v>
          </cell>
          <cell r="F6">
            <v>28.269676284394</v>
          </cell>
          <cell r="G6">
            <v>0</v>
          </cell>
        </row>
        <row r="6">
          <cell r="I6">
            <v>26.2459891723138</v>
          </cell>
          <cell r="J6">
            <v>1.09164715453198</v>
          </cell>
        </row>
        <row r="6">
          <cell r="R6">
            <v>8.8017278046887</v>
          </cell>
        </row>
        <row r="6">
          <cell r="Z6">
            <v>161.438</v>
          </cell>
        </row>
        <row r="6">
          <cell r="AJ6" t="str">
            <v>Jan</v>
          </cell>
        </row>
        <row r="7">
          <cell r="D7">
            <v>0.266674285931979</v>
          </cell>
          <cell r="E7">
            <v>33.855062525596</v>
          </cell>
          <cell r="F7">
            <v>30.4749659514081</v>
          </cell>
          <cell r="G7">
            <v>0</v>
          </cell>
        </row>
        <row r="7">
          <cell r="I7">
            <v>28.565768545768</v>
          </cell>
          <cell r="J7">
            <v>0.171242987894892</v>
          </cell>
        </row>
        <row r="7">
          <cell r="R7">
            <v>6.66628570340105</v>
          </cell>
        </row>
        <row r="7">
          <cell r="Z7">
            <v>169.35</v>
          </cell>
        </row>
        <row r="7">
          <cell r="AJ7" t="str">
            <v>Feb</v>
          </cell>
        </row>
        <row r="8">
          <cell r="D8">
            <v>0</v>
          </cell>
          <cell r="E8">
            <v>30.9627474044714</v>
          </cell>
          <cell r="F8">
            <v>31.5609222186915</v>
          </cell>
          <cell r="G8">
            <v>0.392465115760485</v>
          </cell>
        </row>
        <row r="8">
          <cell r="I8">
            <v>30.518065102381</v>
          </cell>
          <cell r="J8">
            <v>0</v>
          </cell>
        </row>
        <row r="8">
          <cell r="R8">
            <v>6.56580015869565</v>
          </cell>
        </row>
        <row r="8">
          <cell r="Z8">
            <v>173.592580645161</v>
          </cell>
        </row>
        <row r="8">
          <cell r="AJ8" t="str">
            <v>Mrz</v>
          </cell>
        </row>
        <row r="9">
          <cell r="D9">
            <v>0</v>
          </cell>
          <cell r="E9">
            <v>34.9294844715978</v>
          </cell>
          <cell r="F9">
            <v>30.3017502098579</v>
          </cell>
          <cell r="G9">
            <v>0.241295917624918</v>
          </cell>
        </row>
        <row r="9">
          <cell r="I9">
            <v>27.9964077097412</v>
          </cell>
          <cell r="J9">
            <v>0</v>
          </cell>
        </row>
        <row r="9">
          <cell r="R9">
            <v>6.53106169117815</v>
          </cell>
        </row>
        <row r="9">
          <cell r="Z9">
            <v>164.439464285714</v>
          </cell>
        </row>
        <row r="9">
          <cell r="AJ9" t="str">
            <v>Apr</v>
          </cell>
        </row>
        <row r="10">
          <cell r="D10">
            <v>0</v>
          </cell>
          <cell r="E10">
            <v>36.6231996813496</v>
          </cell>
          <cell r="F10">
            <v>29.8261941012459</v>
          </cell>
          <cell r="G10">
            <v>0.789366905778515</v>
          </cell>
        </row>
        <row r="10">
          <cell r="I10">
            <v>26.2519869115112</v>
          </cell>
          <cell r="J10">
            <v>0</v>
          </cell>
        </row>
        <row r="10">
          <cell r="R10">
            <v>6.50925240011465</v>
          </cell>
        </row>
        <row r="10">
          <cell r="Z10">
            <v>173.311612903226</v>
          </cell>
        </row>
        <row r="10">
          <cell r="AJ10" t="str">
            <v>Mai</v>
          </cell>
        </row>
        <row r="11">
          <cell r="D11">
            <v>0</v>
          </cell>
          <cell r="E11">
            <v>36.6099744139638</v>
          </cell>
          <cell r="F11">
            <v>30.1875895304258</v>
          </cell>
          <cell r="G11">
            <v>2.5579825948712</v>
          </cell>
        </row>
        <row r="11">
          <cell r="I11">
            <v>24.8998087257492</v>
          </cell>
          <cell r="J11">
            <v>0</v>
          </cell>
        </row>
        <row r="11">
          <cell r="R11">
            <v>5.74464473498994</v>
          </cell>
        </row>
        <row r="11">
          <cell r="Z11">
            <v>161.025333333333</v>
          </cell>
        </row>
        <row r="11">
          <cell r="AJ11" t="str">
            <v>Jun</v>
          </cell>
        </row>
        <row r="12">
          <cell r="D12">
            <v>0</v>
          </cell>
          <cell r="E12">
            <v>35.9766273319774</v>
          </cell>
          <cell r="F12">
            <v>32.5510343517509</v>
          </cell>
          <cell r="G12">
            <v>5.32811048198983</v>
          </cell>
        </row>
        <row r="12">
          <cell r="I12">
            <v>20.5491630781778</v>
          </cell>
          <cell r="J12">
            <v>0</v>
          </cell>
        </row>
        <row r="12">
          <cell r="R12">
            <v>5.59506475610403</v>
          </cell>
        </row>
        <row r="12">
          <cell r="Z12">
            <v>134.322870967742</v>
          </cell>
        </row>
        <row r="12">
          <cell r="AJ12" t="str">
            <v>Jul</v>
          </cell>
        </row>
        <row r="13">
          <cell r="D13">
            <v>0</v>
          </cell>
          <cell r="E13">
            <v>40.088015470066</v>
          </cell>
          <cell r="F13">
            <v>29.0639094473493</v>
          </cell>
          <cell r="G13">
            <v>3.15519743138526</v>
          </cell>
        </row>
        <row r="13">
          <cell r="I13">
            <v>23.7925237369527</v>
          </cell>
          <cell r="J13">
            <v>0.111983968610809</v>
          </cell>
        </row>
        <row r="13">
          <cell r="R13">
            <v>3.78836994563585</v>
          </cell>
        </row>
        <row r="13">
          <cell r="Z13">
            <v>118.767</v>
          </cell>
        </row>
        <row r="13">
          <cell r="AJ13" t="str">
            <v>Aug</v>
          </cell>
        </row>
        <row r="14">
          <cell r="D14">
            <v>0</v>
          </cell>
          <cell r="E14">
            <v>39.1427336063852</v>
          </cell>
          <cell r="F14">
            <v>23.7760219117756</v>
          </cell>
          <cell r="G14">
            <v>0</v>
          </cell>
        </row>
        <row r="14">
          <cell r="I14">
            <v>32.3205402756426</v>
          </cell>
          <cell r="J14">
            <v>0</v>
          </cell>
        </row>
        <row r="14">
          <cell r="R14">
            <v>4.76070420619665</v>
          </cell>
        </row>
        <row r="14">
          <cell r="Z14">
            <v>129.740225806452</v>
          </cell>
        </row>
        <row r="14">
          <cell r="AJ14" t="str">
            <v>Sep</v>
          </cell>
        </row>
        <row r="15">
          <cell r="D15">
            <v>0</v>
          </cell>
          <cell r="E15">
            <v>37.8072943359165</v>
          </cell>
          <cell r="F15">
            <v>24.0180275261226</v>
          </cell>
          <cell r="G15">
            <v>0</v>
          </cell>
        </row>
        <row r="15">
          <cell r="I15">
            <v>33.1218733153041</v>
          </cell>
          <cell r="J15">
            <v>0.105582193943087</v>
          </cell>
        </row>
        <row r="15">
          <cell r="R15">
            <v>4.94722262871367</v>
          </cell>
        </row>
        <row r="15">
          <cell r="Z15">
            <v>152.762806451613</v>
          </cell>
        </row>
        <row r="25">
          <cell r="E25" t="str">
            <v>Fermenter 1</v>
          </cell>
          <cell r="F25" t="str">
            <v>Fermenter 2</v>
          </cell>
        </row>
        <row r="28">
          <cell r="E28">
            <v>0.358</v>
          </cell>
          <cell r="F28">
            <v>0.362</v>
          </cell>
        </row>
        <row r="29">
          <cell r="E29">
            <v>0.357</v>
          </cell>
          <cell r="F29">
            <v>0.298</v>
          </cell>
        </row>
        <row r="30">
          <cell r="E30">
            <v>0.296</v>
          </cell>
          <cell r="F30">
            <v>0.319</v>
          </cell>
        </row>
        <row r="31">
          <cell r="E31">
            <v>0.373</v>
          </cell>
          <cell r="F31">
            <v>0.326</v>
          </cell>
        </row>
        <row r="32">
          <cell r="E32">
            <v>0.339</v>
          </cell>
          <cell r="F32">
            <v>0.375</v>
          </cell>
        </row>
        <row r="33">
          <cell r="E33">
            <v>0.447</v>
          </cell>
          <cell r="F33">
            <v>0.502</v>
          </cell>
        </row>
        <row r="34">
          <cell r="E34">
            <v>1.318</v>
          </cell>
          <cell r="F34">
            <v>1.316</v>
          </cell>
        </row>
        <row r="35">
          <cell r="E35">
            <v>0.454</v>
          </cell>
          <cell r="F35">
            <v>0.632</v>
          </cell>
        </row>
        <row r="36">
          <cell r="E36">
            <v>0.36</v>
          </cell>
          <cell r="F36">
            <v>0.315</v>
          </cell>
        </row>
        <row r="37">
          <cell r="E37">
            <v>0.368</v>
          </cell>
          <cell r="F37">
            <v>0.33</v>
          </cell>
        </row>
        <row r="38">
          <cell r="E38">
            <v>0.411</v>
          </cell>
          <cell r="F38">
            <v>0.375</v>
          </cell>
        </row>
        <row r="39">
          <cell r="E39">
            <v>0.555</v>
          </cell>
          <cell r="F39">
            <v>0.339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50">
          <cell r="K50">
            <v>0</v>
          </cell>
          <cell r="L50">
            <v>0</v>
          </cell>
        </row>
        <row r="51">
          <cell r="K51">
            <v>0</v>
          </cell>
          <cell r="L51">
            <v>0</v>
          </cell>
        </row>
        <row r="52">
          <cell r="K52">
            <v>0</v>
          </cell>
          <cell r="L52">
            <v>0</v>
          </cell>
        </row>
        <row r="53">
          <cell r="K53">
            <v>0</v>
          </cell>
          <cell r="L53">
            <v>0</v>
          </cell>
        </row>
        <row r="54">
          <cell r="K54">
            <v>0</v>
          </cell>
          <cell r="L54">
            <v>0</v>
          </cell>
        </row>
        <row r="55">
          <cell r="K55">
            <v>0</v>
          </cell>
          <cell r="L55">
            <v>0</v>
          </cell>
        </row>
        <row r="56">
          <cell r="K56">
            <v>0</v>
          </cell>
          <cell r="L56">
            <v>0</v>
          </cell>
        </row>
        <row r="57">
          <cell r="K57">
            <v>0</v>
          </cell>
          <cell r="L57">
            <v>0</v>
          </cell>
        </row>
        <row r="58">
          <cell r="K58">
            <v>0</v>
          </cell>
          <cell r="L58">
            <v>0</v>
          </cell>
        </row>
        <row r="59">
          <cell r="K59">
            <v>0</v>
          </cell>
          <cell r="L59">
            <v>0</v>
          </cell>
        </row>
        <row r="60">
          <cell r="K60">
            <v>0</v>
          </cell>
          <cell r="L60">
            <v>0</v>
          </cell>
        </row>
        <row r="61">
          <cell r="K61">
            <v>0</v>
          </cell>
          <cell r="L61">
            <v>0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BGA 23_Diagramme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0"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</row>
      </sheetData>
      <sheetData sheetId="11"/>
      <sheetData sheetId="12"/>
      <sheetData sheetId="13"/>
      <sheetData sheetId="14">
        <row r="4">
          <cell r="A4" t="str">
            <v>Zeilenbeschriftungen</v>
          </cell>
          <cell r="B4" t="str">
            <v>Biogasertrag</v>
          </cell>
          <cell r="C4" t="str">
            <v>Eigenstrombedarf der Biogasanlage</v>
          </cell>
          <cell r="D4" t="str">
            <v>Eingespeiste Gesamtstrommenge nach Stromabrechnung</v>
          </cell>
          <cell r="E4" t="str">
            <v>Kohlenstoffdioxidkonzentration im Biogas</v>
          </cell>
          <cell r="F4" t="str">
            <v>Methankonzentration im Biogas</v>
          </cell>
          <cell r="G4" t="str">
            <v>Sauerstoffkonzentration im Biogas</v>
          </cell>
          <cell r="H4" t="str">
            <v>Schwefelwasserstoffkonzentration im Biogas</v>
          </cell>
          <cell r="I4" t="str">
            <v>errechnete monatliche Biogasmenge</v>
          </cell>
        </row>
        <row r="6">
          <cell r="A6" t="str">
            <v>Sep</v>
          </cell>
          <cell r="B6">
            <v>2347.83333333333</v>
          </cell>
          <cell r="C6">
            <v>1224.53333333333</v>
          </cell>
          <cell r="D6">
            <v>0</v>
          </cell>
          <cell r="E6">
            <v>45.7376666666667</v>
          </cell>
          <cell r="F6">
            <v>52.7416666666667</v>
          </cell>
        </row>
        <row r="7">
          <cell r="A7" t="str">
            <v>Okt</v>
          </cell>
          <cell r="B7">
            <v>2903.93548387097</v>
          </cell>
          <cell r="C7">
            <v>1692.83870967742</v>
          </cell>
          <cell r="D7">
            <v>0</v>
          </cell>
          <cell r="E7">
            <v>44.2793548387097</v>
          </cell>
          <cell r="F7">
            <v>53.1570967741936</v>
          </cell>
        </row>
        <row r="8">
          <cell r="A8" t="str">
            <v>Nov</v>
          </cell>
          <cell r="B8">
            <v>2676.7</v>
          </cell>
          <cell r="C8">
            <v>2116.2</v>
          </cell>
          <cell r="D8">
            <v>0</v>
          </cell>
          <cell r="E8">
            <v>46.2396666666667</v>
          </cell>
          <cell r="F8">
            <v>53.0806666666667</v>
          </cell>
        </row>
        <row r="9">
          <cell r="A9" t="str">
            <v>Dez</v>
          </cell>
          <cell r="B9">
            <v>2552.03225806452</v>
          </cell>
          <cell r="C9">
            <v>2080.32258064516</v>
          </cell>
          <cell r="D9">
            <v>0</v>
          </cell>
          <cell r="E9">
            <v>47.07</v>
          </cell>
          <cell r="F9">
            <v>51.5932258064516</v>
          </cell>
        </row>
        <row r="10">
          <cell r="A10" t="str">
            <v>2017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A11" t="str">
            <v>Jan</v>
          </cell>
          <cell r="B11">
            <v>2261.25806451613</v>
          </cell>
          <cell r="C11">
            <v>1998.8064516129</v>
          </cell>
          <cell r="D11">
            <v>0</v>
          </cell>
          <cell r="E11">
            <v>44.978064516129</v>
          </cell>
          <cell r="F11">
            <v>48.2487096774194</v>
          </cell>
        </row>
        <row r="12">
          <cell r="A12" t="str">
            <v>Feb</v>
          </cell>
          <cell r="B12">
            <v>2486.89285714286</v>
          </cell>
          <cell r="C12">
            <v>1940.71428571429</v>
          </cell>
          <cell r="D12">
            <v>0</v>
          </cell>
          <cell r="E12">
            <v>47.3885714285714</v>
          </cell>
          <cell r="F12">
            <v>51.4464285714286</v>
          </cell>
        </row>
        <row r="13">
          <cell r="A13" t="str">
            <v>Mrz</v>
          </cell>
          <cell r="B13">
            <v>2737</v>
          </cell>
          <cell r="C13">
            <v>1848.90322580645</v>
          </cell>
          <cell r="D13">
            <v>0</v>
          </cell>
          <cell r="E13">
            <v>47.6435483870968</v>
          </cell>
          <cell r="F13">
            <v>51.4961290322581</v>
          </cell>
        </row>
        <row r="14">
          <cell r="A14" t="str">
            <v>Apr</v>
          </cell>
          <cell r="B14">
            <v>2744.4</v>
          </cell>
          <cell r="C14">
            <v>1872.1</v>
          </cell>
          <cell r="D14">
            <v>0</v>
          </cell>
          <cell r="E14">
            <v>48.1466666666667</v>
          </cell>
          <cell r="F14">
            <v>51.1893333333333</v>
          </cell>
        </row>
        <row r="15">
          <cell r="A15" t="str">
            <v>Mai</v>
          </cell>
          <cell r="B15">
            <v>2395.35483870968</v>
          </cell>
          <cell r="C15">
            <v>1913.12903225806</v>
          </cell>
          <cell r="D15">
            <v>0</v>
          </cell>
          <cell r="E15">
            <v>47.2638709677419</v>
          </cell>
          <cell r="F15">
            <v>51.6106451612903</v>
          </cell>
        </row>
        <row r="16">
          <cell r="A16" t="str">
            <v>Jun</v>
          </cell>
          <cell r="B16">
            <v>2331.33333333333</v>
          </cell>
          <cell r="C16">
            <v>2293.96666666667</v>
          </cell>
          <cell r="D16">
            <v>0</v>
          </cell>
          <cell r="E16">
            <v>45.5096666666667</v>
          </cell>
          <cell r="F16">
            <v>52.5366666666667</v>
          </cell>
        </row>
        <row r="17">
          <cell r="A17" t="str">
            <v>Jul</v>
          </cell>
          <cell r="B17">
            <v>2188.83870967742</v>
          </cell>
          <cell r="C17">
            <v>2095.54838709677</v>
          </cell>
          <cell r="D17">
            <v>0</v>
          </cell>
          <cell r="E17">
            <v>45.9835483870968</v>
          </cell>
          <cell r="F17">
            <v>51.6041935483871</v>
          </cell>
        </row>
        <row r="18">
          <cell r="A18" t="str">
            <v>Aug</v>
          </cell>
          <cell r="B18">
            <v>1901.29032258065</v>
          </cell>
          <cell r="C18">
            <v>1411</v>
          </cell>
          <cell r="D18">
            <v>0</v>
          </cell>
          <cell r="E18">
            <v>46.8567741935484</v>
          </cell>
          <cell r="F18">
            <v>51.3416129032258</v>
          </cell>
        </row>
        <row r="19">
          <cell r="A19" t="str">
            <v>Sep</v>
          </cell>
          <cell r="B19">
            <v>2000.36666666667</v>
          </cell>
          <cell r="C19">
            <v>826.533333333333</v>
          </cell>
          <cell r="D19">
            <v>5264.016</v>
          </cell>
          <cell r="E19">
            <v>45.7376666666667</v>
          </cell>
          <cell r="F19">
            <v>52.7416666666667</v>
          </cell>
        </row>
      </sheetData>
      <sheetData sheetId="15"/>
      <sheetData sheetId="16"/>
      <sheetData sheetId="17"/>
      <sheetData sheetId="18"/>
      <sheetData sheetId="19"/>
      <sheetData sheetId="20"/>
      <sheetData sheetId="21">
        <row r="47">
          <cell r="I47" t="str">
            <v>Thermische Auslastung durch Fremdnutzer</v>
          </cell>
        </row>
        <row r="48">
          <cell r="B48" t="str">
            <v>Monat</v>
          </cell>
        </row>
        <row r="49">
          <cell r="B49">
            <v>0</v>
          </cell>
          <cell r="C49" t="str">
            <v>Sep</v>
          </cell>
        </row>
        <row r="49">
          <cell r="I49" t="e">
            <v>#DIV/0!</v>
          </cell>
        </row>
        <row r="50">
          <cell r="B50">
            <v>0</v>
          </cell>
          <cell r="C50" t="str">
            <v>Okt</v>
          </cell>
        </row>
        <row r="50">
          <cell r="I50" t="e">
            <v>#DIV/0!</v>
          </cell>
        </row>
        <row r="51">
          <cell r="B51">
            <v>0</v>
          </cell>
          <cell r="C51" t="str">
            <v>Nov</v>
          </cell>
        </row>
        <row r="51">
          <cell r="I51" t="e">
            <v>#DIV/0!</v>
          </cell>
        </row>
        <row r="52">
          <cell r="B52">
            <v>0</v>
          </cell>
          <cell r="C52" t="str">
            <v>Dez</v>
          </cell>
        </row>
        <row r="52">
          <cell r="I52" t="e">
            <v>#DIV/0!</v>
          </cell>
        </row>
        <row r="53">
          <cell r="B53">
            <v>0</v>
          </cell>
          <cell r="C53" t="str">
            <v>Jan</v>
          </cell>
        </row>
        <row r="53">
          <cell r="I53" t="e">
            <v>#DIV/0!</v>
          </cell>
        </row>
        <row r="54">
          <cell r="B54">
            <v>0</v>
          </cell>
          <cell r="C54" t="str">
            <v>Feb</v>
          </cell>
        </row>
        <row r="54">
          <cell r="I54" t="e">
            <v>#DIV/0!</v>
          </cell>
        </row>
        <row r="55">
          <cell r="B55">
            <v>0</v>
          </cell>
          <cell r="C55" t="str">
            <v>Mrz</v>
          </cell>
        </row>
        <row r="55">
          <cell r="I55" t="e">
            <v>#DIV/0!</v>
          </cell>
        </row>
        <row r="56">
          <cell r="B56">
            <v>0</v>
          </cell>
          <cell r="C56" t="str">
            <v>Apr</v>
          </cell>
        </row>
        <row r="56">
          <cell r="I56" t="e">
            <v>#DIV/0!</v>
          </cell>
        </row>
        <row r="57">
          <cell r="B57">
            <v>0</v>
          </cell>
          <cell r="C57" t="str">
            <v>Mai</v>
          </cell>
        </row>
        <row r="57">
          <cell r="I57" t="e">
            <v>#DIV/0!</v>
          </cell>
        </row>
        <row r="58">
          <cell r="B58">
            <v>0</v>
          </cell>
          <cell r="C58" t="str">
            <v>Jun</v>
          </cell>
        </row>
        <row r="58">
          <cell r="I58" t="e">
            <v>#DIV/0!</v>
          </cell>
        </row>
        <row r="59">
          <cell r="B59">
            <v>0</v>
          </cell>
          <cell r="C59" t="str">
            <v>Jul</v>
          </cell>
        </row>
        <row r="59">
          <cell r="I59" t="e">
            <v>#DIV/0!</v>
          </cell>
        </row>
        <row r="60">
          <cell r="C60" t="str">
            <v>Aug</v>
          </cell>
        </row>
        <row r="60">
          <cell r="I60" t="e">
            <v>#DIV/0!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BGA 24_Diagramme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BGA 25_Diagramme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Tabelle1"/>
      <sheetName val="Datenblatt neu"/>
      <sheetName val="Validierung"/>
      <sheetName val="Rechnung"/>
      <sheetName val="Pivot BTB Anlage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">
          <cell r="Q2" t="str">
            <v>Weizenkleie</v>
          </cell>
        </row>
        <row r="4">
          <cell r="Q4">
            <v>0</v>
          </cell>
        </row>
        <row r="5">
          <cell r="Q5">
            <v>0</v>
          </cell>
        </row>
        <row r="6">
          <cell r="Q6">
            <v>0</v>
          </cell>
        </row>
        <row r="7">
          <cell r="Q7">
            <v>0</v>
          </cell>
        </row>
        <row r="8">
          <cell r="Q8">
            <v>0</v>
          </cell>
        </row>
        <row r="9">
          <cell r="Q9">
            <v>0</v>
          </cell>
        </row>
        <row r="10">
          <cell r="Q10">
            <v>0</v>
          </cell>
        </row>
        <row r="11">
          <cell r="Q11">
            <v>0</v>
          </cell>
        </row>
        <row r="12">
          <cell r="Q12">
            <v>0</v>
          </cell>
        </row>
        <row r="13">
          <cell r="Q13">
            <v>0</v>
          </cell>
        </row>
        <row r="14">
          <cell r="Q14">
            <v>0</v>
          </cell>
        </row>
        <row r="15">
          <cell r="Q15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BGA 26_Diagramme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Rechnung"/>
      <sheetName val="Pivot BTB Anlage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4">
          <cell r="C4" t="str">
            <v>Sep</v>
          </cell>
        </row>
        <row r="5">
          <cell r="C5" t="str">
            <v>Okt</v>
          </cell>
        </row>
        <row r="6">
          <cell r="C6" t="str">
            <v>Nov</v>
          </cell>
        </row>
        <row r="7">
          <cell r="C7" t="str">
            <v>Dez</v>
          </cell>
        </row>
        <row r="8">
          <cell r="C8" t="str">
            <v>Jan</v>
          </cell>
        </row>
        <row r="9">
          <cell r="C9" t="str">
            <v>Feb</v>
          </cell>
        </row>
        <row r="10">
          <cell r="C10" t="str">
            <v>Mrz</v>
          </cell>
        </row>
        <row r="11">
          <cell r="C11" t="str">
            <v>Apr</v>
          </cell>
        </row>
        <row r="12">
          <cell r="C12" t="str">
            <v>Mai</v>
          </cell>
        </row>
        <row r="13">
          <cell r="C13" t="str">
            <v>Jun</v>
          </cell>
        </row>
        <row r="14">
          <cell r="C14" t="str">
            <v>Jul</v>
          </cell>
        </row>
        <row r="15">
          <cell r="C15" t="str">
            <v>Aug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BGA 27_Diagramme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BGA 28_Diagramme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Rechnung"/>
      <sheetName val="Pivot BTB Anlage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5">
          <cell r="D25" t="str">
            <v>FOS/TAC</v>
          </cell>
        </row>
        <row r="28">
          <cell r="D28">
            <v>42644</v>
          </cell>
          <cell r="E28">
            <v>0.276</v>
          </cell>
        </row>
        <row r="29">
          <cell r="D29">
            <v>42675</v>
          </cell>
          <cell r="E29">
            <v>0.487</v>
          </cell>
        </row>
        <row r="30">
          <cell r="D30">
            <v>42705</v>
          </cell>
          <cell r="E30">
            <v>0.345</v>
          </cell>
        </row>
        <row r="31">
          <cell r="D31">
            <v>42736</v>
          </cell>
          <cell r="E31">
            <v>0.34</v>
          </cell>
        </row>
        <row r="32">
          <cell r="D32">
            <v>42767</v>
          </cell>
          <cell r="E32">
            <v>0.357</v>
          </cell>
        </row>
        <row r="33">
          <cell r="D33">
            <v>42795</v>
          </cell>
          <cell r="E33">
            <v>0.257</v>
          </cell>
        </row>
        <row r="34">
          <cell r="D34">
            <v>42826</v>
          </cell>
          <cell r="E34">
            <v>0.29</v>
          </cell>
        </row>
        <row r="35">
          <cell r="D35">
            <v>42856</v>
          </cell>
          <cell r="E35">
            <v>0.271</v>
          </cell>
        </row>
        <row r="36">
          <cell r="D36">
            <v>42887</v>
          </cell>
          <cell r="E36">
            <v>0.252</v>
          </cell>
        </row>
        <row r="37">
          <cell r="D37">
            <v>42917</v>
          </cell>
          <cell r="E37">
            <v>0.246</v>
          </cell>
        </row>
        <row r="38">
          <cell r="D38">
            <v>42948</v>
          </cell>
          <cell r="E38">
            <v>0.243</v>
          </cell>
        </row>
        <row r="39">
          <cell r="D39">
            <v>42979</v>
          </cell>
          <cell r="E39">
            <v>0.278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Rechnung"/>
      <sheetName val="Pivot BTB Anlage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Q2" t="str">
            <v>Weizenkleie</v>
          </cell>
        </row>
        <row r="4">
          <cell r="C4" t="str">
            <v>Sep</v>
          </cell>
        </row>
        <row r="4">
          <cell r="Q4">
            <v>0</v>
          </cell>
        </row>
        <row r="5">
          <cell r="C5" t="str">
            <v>Okt</v>
          </cell>
        </row>
        <row r="5">
          <cell r="Q5">
            <v>0</v>
          </cell>
        </row>
        <row r="6">
          <cell r="C6" t="str">
            <v>Nov</v>
          </cell>
        </row>
        <row r="6">
          <cell r="Q6">
            <v>0</v>
          </cell>
        </row>
        <row r="7">
          <cell r="C7" t="str">
            <v>Dez</v>
          </cell>
        </row>
        <row r="7">
          <cell r="Q7">
            <v>0</v>
          </cell>
        </row>
        <row r="8">
          <cell r="C8" t="str">
            <v>Jan</v>
          </cell>
        </row>
        <row r="8">
          <cell r="Q8">
            <v>0</v>
          </cell>
        </row>
        <row r="9">
          <cell r="C9" t="str">
            <v>Feb</v>
          </cell>
        </row>
        <row r="9">
          <cell r="Q9">
            <v>0</v>
          </cell>
        </row>
        <row r="10">
          <cell r="C10" t="str">
            <v>Mrz</v>
          </cell>
        </row>
        <row r="10">
          <cell r="Q10">
            <v>0</v>
          </cell>
        </row>
        <row r="11">
          <cell r="C11" t="str">
            <v>Apr</v>
          </cell>
        </row>
        <row r="11">
          <cell r="Q11">
            <v>0</v>
          </cell>
        </row>
        <row r="12">
          <cell r="C12" t="str">
            <v>Mai</v>
          </cell>
        </row>
        <row r="12">
          <cell r="Q12">
            <v>0</v>
          </cell>
        </row>
        <row r="13">
          <cell r="C13" t="str">
            <v>Jun</v>
          </cell>
        </row>
        <row r="13">
          <cell r="Q13">
            <v>0</v>
          </cell>
        </row>
        <row r="14">
          <cell r="C14" t="str">
            <v>Jul</v>
          </cell>
        </row>
        <row r="14">
          <cell r="Q14">
            <v>0</v>
          </cell>
        </row>
        <row r="15">
          <cell r="C15" t="str">
            <v>Aug</v>
          </cell>
        </row>
        <row r="15">
          <cell r="Q15">
            <v>0</v>
          </cell>
        </row>
        <row r="49">
          <cell r="C49" t="str">
            <v>Sep</v>
          </cell>
        </row>
        <row r="50">
          <cell r="C50" t="str">
            <v>Okt</v>
          </cell>
        </row>
        <row r="51">
          <cell r="C51" t="str">
            <v>Nov</v>
          </cell>
        </row>
        <row r="52">
          <cell r="C52" t="str">
            <v>Dez</v>
          </cell>
        </row>
        <row r="53">
          <cell r="C53" t="str">
            <v>Jan</v>
          </cell>
        </row>
        <row r="54">
          <cell r="C54" t="str">
            <v>Feb</v>
          </cell>
        </row>
        <row r="55">
          <cell r="C55" t="str">
            <v>Mrz</v>
          </cell>
        </row>
        <row r="56">
          <cell r="C56" t="str">
            <v>Apr</v>
          </cell>
        </row>
        <row r="57">
          <cell r="C57" t="str">
            <v>Mai</v>
          </cell>
        </row>
        <row r="58">
          <cell r="C58" t="str">
            <v>Jun</v>
          </cell>
        </row>
        <row r="59">
          <cell r="C59" t="str">
            <v>Jul</v>
          </cell>
        </row>
        <row r="60">
          <cell r="C60" t="str">
            <v>Aug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BGA 29_Diagramme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BGA 30_Diagramme"/>
    </sheetNames>
    <sheetDataSet>
      <sheetData sheetId="0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Rechnung"/>
      <sheetName val="Pivot BTB Anlage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4">
          <cell r="C4" t="str">
            <v>Sep</v>
          </cell>
        </row>
        <row r="5">
          <cell r="C5" t="str">
            <v>Okt</v>
          </cell>
        </row>
        <row r="6">
          <cell r="C6" t="str">
            <v>Nov</v>
          </cell>
        </row>
        <row r="7">
          <cell r="C7" t="str">
            <v>Dez</v>
          </cell>
        </row>
        <row r="8">
          <cell r="C8" t="str">
            <v>Jan</v>
          </cell>
        </row>
        <row r="9">
          <cell r="C9" t="str">
            <v>Feb</v>
          </cell>
        </row>
        <row r="10">
          <cell r="C10" t="str">
            <v>Mrz</v>
          </cell>
        </row>
        <row r="11">
          <cell r="C11" t="str">
            <v>Apr</v>
          </cell>
        </row>
        <row r="12">
          <cell r="C12" t="str">
            <v>Mai</v>
          </cell>
        </row>
        <row r="13">
          <cell r="C13" t="str">
            <v>Jun</v>
          </cell>
        </row>
        <row r="14">
          <cell r="C14" t="str">
            <v>Jul</v>
          </cell>
        </row>
        <row r="15">
          <cell r="C15" t="str">
            <v>Aug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BGA 31_Diagramme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BGA 32_Diagramme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BGA 33_Diagramme"/>
    </sheetNames>
    <sheetDataSet>
      <sheetData sheetId="0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BGA 34_Diagramme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BGA 35_Diagramme"/>
    </sheetNames>
    <sheetDataSet>
      <sheetData sheetId="0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BGA 36_Diagramme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BGA 37_Diagramme"/>
    </sheet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BGA 38_Diagramme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BGA 39_Diagramme"/>
    </sheetNames>
    <sheetDataSet>
      <sheetData sheetId="0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1017"/>
      <sheetName val="1117"/>
      <sheetName val="1217 "/>
      <sheetName val="0118 "/>
      <sheetName val="0218"/>
      <sheetName val="0318"/>
      <sheetName val="0418"/>
      <sheetName val="0518 "/>
      <sheetName val="0618"/>
      <sheetName val="0718"/>
      <sheetName val="0818  "/>
      <sheetName val="0918 "/>
      <sheetName val="BGA 11 Labordaten DBFZ"/>
      <sheetName val="Jahr"/>
      <sheetName val="Temp_Gaszus."/>
      <sheetName val="Umrechnung Futterrest"/>
      <sheetName val="Tabellen für Auswertung"/>
      <sheetName val="Auswertung"/>
      <sheetName val="Finales Datenblatt"/>
      <sheetName val="Biogas_Nm"/>
      <sheetName val="Datenblatt"/>
      <sheetName val="BGA40_Datenblatt "/>
      <sheetName val="BGA40_Diagramme "/>
      <sheetName val="Auswertung BGA Lüttewitz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9">
          <cell r="B19">
            <v>40.4230184331797</v>
          </cell>
          <cell r="C19">
            <v>40.4906957245264</v>
          </cell>
        </row>
        <row r="19">
          <cell r="E19">
            <v>52.0667210701485</v>
          </cell>
          <cell r="F19">
            <v>0.520989823348694</v>
          </cell>
          <cell r="G19">
            <v>249.843529185868</v>
          </cell>
        </row>
      </sheetData>
      <sheetData sheetId="15"/>
      <sheetData sheetId="16">
        <row r="16">
          <cell r="J16">
            <v>23597.12</v>
          </cell>
        </row>
        <row r="33">
          <cell r="J33">
            <v>64.6573409498208</v>
          </cell>
        </row>
        <row r="33">
          <cell r="P33">
            <v>8170</v>
          </cell>
          <cell r="Q33">
            <v>8382</v>
          </cell>
        </row>
        <row r="50">
          <cell r="B50">
            <v>0.678701468653802</v>
          </cell>
        </row>
        <row r="50">
          <cell r="E50">
            <v>0.0104618699231093</v>
          </cell>
          <cell r="F50">
            <v>0.197788967467216</v>
          </cell>
          <cell r="G50">
            <v>0.0581787099442644</v>
          </cell>
          <cell r="H50">
            <v>0.0544452034824589</v>
          </cell>
        </row>
        <row r="50">
          <cell r="P50">
            <v>1382308</v>
          </cell>
          <cell r="Q50">
            <v>3106512</v>
          </cell>
        </row>
        <row r="50">
          <cell r="S50">
            <v>4488820</v>
          </cell>
        </row>
        <row r="67">
          <cell r="S67">
            <v>4426866</v>
          </cell>
        </row>
        <row r="84">
          <cell r="J84">
            <v>15.9094072473167</v>
          </cell>
        </row>
        <row r="84">
          <cell r="P84">
            <v>155925</v>
          </cell>
          <cell r="Q84">
            <v>175559.7</v>
          </cell>
          <cell r="R84">
            <v>331484.7</v>
          </cell>
        </row>
        <row r="89">
          <cell r="S89">
            <v>39.7</v>
          </cell>
          <cell r="T89">
            <v>36</v>
          </cell>
        </row>
        <row r="89">
          <cell r="V89">
            <v>41.4</v>
          </cell>
          <cell r="W89">
            <v>41.5</v>
          </cell>
        </row>
        <row r="101">
          <cell r="J101">
            <v>84.4543542455469</v>
          </cell>
        </row>
        <row r="118">
          <cell r="J118">
            <v>49.3248170523356</v>
          </cell>
        </row>
        <row r="123">
          <cell r="R123">
            <v>36700</v>
          </cell>
        </row>
        <row r="124">
          <cell r="R124">
            <v>61600</v>
          </cell>
        </row>
        <row r="125">
          <cell r="R125">
            <v>80800</v>
          </cell>
        </row>
        <row r="126">
          <cell r="R126">
            <v>94500</v>
          </cell>
        </row>
        <row r="127">
          <cell r="R127">
            <v>87200</v>
          </cell>
        </row>
        <row r="128">
          <cell r="R128">
            <v>91600</v>
          </cell>
        </row>
        <row r="129">
          <cell r="R129">
            <v>72400</v>
          </cell>
        </row>
        <row r="130">
          <cell r="R130">
            <v>66700</v>
          </cell>
        </row>
        <row r="131">
          <cell r="R131">
            <v>58800</v>
          </cell>
        </row>
        <row r="132">
          <cell r="R132">
            <v>44400</v>
          </cell>
        </row>
        <row r="133">
          <cell r="R133">
            <v>34700</v>
          </cell>
        </row>
        <row r="134">
          <cell r="R134">
            <v>40700</v>
          </cell>
        </row>
      </sheetData>
      <sheetData sheetId="17">
        <row r="4">
          <cell r="M4">
            <v>0.08575291055467</v>
          </cell>
          <cell r="N4">
            <v>5.2606888480862</v>
          </cell>
          <cell r="O4">
            <v>2.58519803878049</v>
          </cell>
          <cell r="P4">
            <v>23.2642602045964</v>
          </cell>
        </row>
        <row r="4">
          <cell r="R4">
            <v>68.802885282286</v>
          </cell>
          <cell r="S4">
            <v>63.9508064516129</v>
          </cell>
        </row>
        <row r="5">
          <cell r="M5">
            <v>0.435941385699141</v>
          </cell>
          <cell r="N5">
            <v>5.43589184690531</v>
          </cell>
          <cell r="O5">
            <v>2.90297331840564</v>
          </cell>
          <cell r="P5">
            <v>26.0321407694365</v>
          </cell>
        </row>
        <row r="5">
          <cell r="R5">
            <v>65.1919223443332</v>
          </cell>
          <cell r="S5">
            <v>67.2885</v>
          </cell>
        </row>
        <row r="6">
          <cell r="M6">
            <v>0</v>
          </cell>
          <cell r="N6">
            <v>6.41922920135359</v>
          </cell>
          <cell r="O6">
            <v>3.58042699907174</v>
          </cell>
          <cell r="P6">
            <v>23.0085409637193</v>
          </cell>
        </row>
        <row r="6">
          <cell r="R6">
            <v>66.9906512679847</v>
          </cell>
          <cell r="S6">
            <v>65.6808064516129</v>
          </cell>
        </row>
        <row r="7">
          <cell r="M7">
            <v>0</v>
          </cell>
          <cell r="N7">
            <v>5.78521212121212</v>
          </cell>
          <cell r="O7">
            <v>6.70787878787879</v>
          </cell>
          <cell r="P7">
            <v>21.3735757575758</v>
          </cell>
        </row>
        <row r="7">
          <cell r="R7">
            <v>66.1322110897512</v>
          </cell>
          <cell r="S7">
            <v>66.5333870967742</v>
          </cell>
        </row>
        <row r="8">
          <cell r="M8">
            <v>0</v>
          </cell>
          <cell r="N8">
            <v>5.30920467110764</v>
          </cell>
          <cell r="O8">
            <v>6.09940936918471</v>
          </cell>
          <cell r="P8">
            <v>23.0880012945333</v>
          </cell>
        </row>
        <row r="8">
          <cell r="R8">
            <v>65.5021480756317</v>
          </cell>
          <cell r="S8">
            <v>66.21375</v>
          </cell>
        </row>
        <row r="9">
          <cell r="M9">
            <v>1.26417136095632</v>
          </cell>
          <cell r="N9">
            <v>5.40559673944923</v>
          </cell>
          <cell r="O9">
            <v>3.79200841432458</v>
          </cell>
          <cell r="P9">
            <v>20.565034031493</v>
          </cell>
        </row>
        <row r="9">
          <cell r="R9">
            <v>68.9719687603502</v>
          </cell>
          <cell r="S9">
            <v>63.7940322580645</v>
          </cell>
        </row>
        <row r="10">
          <cell r="M10">
            <v>2.08143968934378</v>
          </cell>
          <cell r="N10">
            <v>6.32875990297372</v>
          </cell>
          <cell r="O10">
            <v>2.59830365354517</v>
          </cell>
          <cell r="P10">
            <v>17.9966546369851</v>
          </cell>
        </row>
        <row r="10">
          <cell r="R10">
            <v>70.9935057077165</v>
          </cell>
          <cell r="S10">
            <v>61.9775</v>
          </cell>
        </row>
        <row r="11">
          <cell r="M11">
            <v>2.43384059840083</v>
          </cell>
          <cell r="N11">
            <v>6.75367552231106</v>
          </cell>
          <cell r="O11">
            <v>2.90533917977818</v>
          </cell>
          <cell r="P11">
            <v>17.5434614392572</v>
          </cell>
        </row>
        <row r="11">
          <cell r="R11">
            <v>70.362412853005</v>
          </cell>
          <cell r="S11">
            <v>62.5333870967742</v>
          </cell>
        </row>
        <row r="12">
          <cell r="M12">
            <v>2.45848757271285</v>
          </cell>
          <cell r="N12">
            <v>6.8725542041248</v>
          </cell>
          <cell r="O12">
            <v>2.22474881015336</v>
          </cell>
          <cell r="P12">
            <v>20.0148069804336</v>
          </cell>
        </row>
        <row r="12">
          <cell r="R12">
            <v>68.4281359149884</v>
          </cell>
          <cell r="S12">
            <v>63.0345</v>
          </cell>
        </row>
        <row r="13">
          <cell r="M13">
            <v>1.72061194792937</v>
          </cell>
          <cell r="N13">
            <v>6.55897274550674</v>
          </cell>
          <cell r="O13">
            <v>12.1932394698549</v>
          </cell>
          <cell r="P13">
            <v>12.4724702088331</v>
          </cell>
        </row>
        <row r="13">
          <cell r="R13">
            <v>67.0535518964504</v>
          </cell>
          <cell r="S13">
            <v>65.6191935483871</v>
          </cell>
        </row>
        <row r="14">
          <cell r="M14">
            <v>2.19044963957147</v>
          </cell>
          <cell r="N14">
            <v>4.63180532876658</v>
          </cell>
          <cell r="O14">
            <v>14.0313234298459</v>
          </cell>
          <cell r="P14">
            <v>11.1429168823928</v>
          </cell>
        </row>
        <row r="14">
          <cell r="R14">
            <v>68.002319844879</v>
          </cell>
          <cell r="S14">
            <v>64.7985483870968</v>
          </cell>
        </row>
        <row r="15">
          <cell r="M15">
            <v>0</v>
          </cell>
          <cell r="N15">
            <v>5.09075681516215</v>
          </cell>
          <cell r="O15">
            <v>5.1181570498736</v>
          </cell>
          <cell r="P15">
            <v>20.980308019997</v>
          </cell>
        </row>
        <row r="15">
          <cell r="R15">
            <v>68.2925568350717</v>
          </cell>
          <cell r="S15">
            <v>64.4775</v>
          </cell>
        </row>
        <row r="16">
          <cell r="M16">
            <v>1.04618699231093</v>
          </cell>
          <cell r="N16">
            <v>5.81787099442644</v>
          </cell>
          <cell r="O16">
            <v>5.44452034824589</v>
          </cell>
          <cell r="P16">
            <v>19.7788967467216</v>
          </cell>
        </row>
        <row r="16">
          <cell r="R16">
            <v>67.8701468653802</v>
          </cell>
          <cell r="S16">
            <v>129.315833557348</v>
          </cell>
        </row>
        <row r="156">
          <cell r="Q156">
            <v>2353959.50526993</v>
          </cell>
        </row>
        <row r="182">
          <cell r="L182">
            <v>7.69625170294392</v>
          </cell>
        </row>
        <row r="182">
          <cell r="N182">
            <v>73.6028365860709</v>
          </cell>
          <cell r="O182">
            <v>8.11279066539386</v>
          </cell>
        </row>
        <row r="182">
          <cell r="Q182">
            <v>69.3646307069946</v>
          </cell>
        </row>
        <row r="182">
          <cell r="S182">
            <v>6.60502573224843</v>
          </cell>
          <cell r="T182">
            <v>71.4647891762872</v>
          </cell>
        </row>
        <row r="191">
          <cell r="O191">
            <v>0.105966504158147</v>
          </cell>
        </row>
        <row r="191">
          <cell r="S191">
            <v>0.110348708295217</v>
          </cell>
        </row>
        <row r="192">
          <cell r="O192">
            <v>0.0980644774927637</v>
          </cell>
        </row>
        <row r="192">
          <cell r="S192">
            <v>0.103037021775655</v>
          </cell>
        </row>
        <row r="193">
          <cell r="O193">
            <v>0.141705317747198</v>
          </cell>
        </row>
        <row r="193">
          <cell r="S193">
            <v>0.136765171112885</v>
          </cell>
        </row>
        <row r="194">
          <cell r="O194">
            <v>0.111454258800211</v>
          </cell>
        </row>
        <row r="194">
          <cell r="S194">
            <v>0.114365489061652</v>
          </cell>
        </row>
        <row r="195">
          <cell r="O195">
            <v>0.118284467645324</v>
          </cell>
        </row>
        <row r="195">
          <cell r="S195">
            <v>0.174922491407976</v>
          </cell>
        </row>
        <row r="196">
          <cell r="O196">
            <v>0.107482302552183</v>
          </cell>
        </row>
        <row r="196">
          <cell r="S196">
            <v>0.113620963888736</v>
          </cell>
        </row>
        <row r="197">
          <cell r="O197">
            <v>0.12769570480297</v>
          </cell>
        </row>
        <row r="197">
          <cell r="S197">
            <v>0.121138617028264</v>
          </cell>
        </row>
        <row r="198">
          <cell r="O198">
            <v>0.131685372330231</v>
          </cell>
        </row>
        <row r="198">
          <cell r="S198">
            <v>0.123028313376261</v>
          </cell>
        </row>
        <row r="199">
          <cell r="O199">
            <v>0.12028722134594</v>
          </cell>
        </row>
        <row r="199">
          <cell r="S199">
            <v>0.117171660913132</v>
          </cell>
        </row>
        <row r="200">
          <cell r="O200">
            <v>0.156472478732605</v>
          </cell>
        </row>
        <row r="200">
          <cell r="S200">
            <v>0.145761563054019</v>
          </cell>
        </row>
        <row r="201">
          <cell r="O201">
            <v>0.119097994276822</v>
          </cell>
        </row>
        <row r="201">
          <cell r="S201">
            <v>0.118748771013204</v>
          </cell>
        </row>
        <row r="202">
          <cell r="O202">
            <v>0.115084511523137</v>
          </cell>
        </row>
        <row r="202">
          <cell r="S202">
            <v>0.128049424333783</v>
          </cell>
        </row>
        <row r="203">
          <cell r="O203">
            <v>0.121106717617294</v>
          </cell>
        </row>
        <row r="203">
          <cell r="S203">
            <v>0.125579849605065</v>
          </cell>
        </row>
        <row r="224">
          <cell r="L224">
            <v>1891.66666666667</v>
          </cell>
          <cell r="M224">
            <v>4890.25177775763</v>
          </cell>
          <cell r="N224">
            <v>7.75166666666667</v>
          </cell>
          <cell r="O224">
            <v>2003.33333333333</v>
          </cell>
          <cell r="P224">
            <v>5050.01132219353</v>
          </cell>
          <cell r="Q224">
            <v>7.77</v>
          </cell>
        </row>
      </sheetData>
      <sheetData sheetId="18"/>
      <sheetData sheetId="19">
        <row r="10">
          <cell r="F10">
            <v>242921.16</v>
          </cell>
        </row>
        <row r="11">
          <cell r="F11">
            <v>358829.88</v>
          </cell>
        </row>
        <row r="12">
          <cell r="F12">
            <v>404529.96</v>
          </cell>
        </row>
        <row r="13">
          <cell r="F13">
            <v>402467.52</v>
          </cell>
        </row>
        <row r="14">
          <cell r="F14">
            <v>362972.1</v>
          </cell>
        </row>
        <row r="15">
          <cell r="F15">
            <v>404812.5</v>
          </cell>
        </row>
        <row r="16">
          <cell r="F16">
            <v>383767.86</v>
          </cell>
        </row>
        <row r="17">
          <cell r="F17">
            <v>397870.38</v>
          </cell>
        </row>
        <row r="18">
          <cell r="F18">
            <v>388598.58</v>
          </cell>
        </row>
        <row r="19">
          <cell r="F19">
            <v>394226.94</v>
          </cell>
        </row>
        <row r="20">
          <cell r="F20">
            <v>385926.18</v>
          </cell>
        </row>
        <row r="21">
          <cell r="F21">
            <v>388480.26</v>
          </cell>
        </row>
      </sheetData>
      <sheetData sheetId="20"/>
      <sheetData sheetId="21"/>
      <sheetData sheetId="22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GA 40_Datenblatt "/>
    </sheetNames>
    <sheetDataSet>
      <sheetData sheetId="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BGA 40_Diagramme "/>
    </sheetNames>
    <sheetDataSet>
      <sheetData sheetId="0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Analytik Gärsubstrat "/>
      <sheetName val="Analytik Rohstoffe "/>
      <sheetName val="FOS TAC "/>
      <sheetName val="Betriebstagebuch"/>
      <sheetName val="BTB-Ergänzung"/>
      <sheetName val="Strom+Wärmeeinspeisung"/>
      <sheetName val="Tabellen für Auswertung"/>
      <sheetName val="Auswertung"/>
      <sheetName val="Finales Datenblatt"/>
      <sheetName val="Biogas_Nm"/>
      <sheetName val="Datenblatt"/>
      <sheetName val="Dia Broschüre"/>
      <sheetName val="2018-10-17 Diagramme BGA 41 r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Rindergülle</v>
          </cell>
          <cell r="C2" t="str">
            <v>Schweinegülle</v>
          </cell>
          <cell r="D2" t="str">
            <v>Mais-Ganzpflanzensilage</v>
          </cell>
        </row>
        <row r="2">
          <cell r="F2" t="str">
            <v>Additive</v>
          </cell>
        </row>
        <row r="4">
          <cell r="A4">
            <v>42979</v>
          </cell>
          <cell r="B4">
            <v>22.6563541192744</v>
          </cell>
          <cell r="C4">
            <v>22.6563541192744</v>
          </cell>
          <cell r="D4">
            <v>52.64684120791</v>
          </cell>
        </row>
        <row r="5">
          <cell r="A5">
            <v>43009</v>
          </cell>
          <cell r="B5">
            <v>22.6036881149533</v>
          </cell>
          <cell r="C5">
            <v>22.6036881149533</v>
          </cell>
          <cell r="D5">
            <v>54.7504424454164</v>
          </cell>
        </row>
        <row r="6">
          <cell r="A6">
            <v>43040</v>
          </cell>
          <cell r="B6">
            <v>23.0724338703329</v>
          </cell>
          <cell r="C6">
            <v>23.0724338703329</v>
          </cell>
          <cell r="D6">
            <v>52.7738946720774</v>
          </cell>
        </row>
        <row r="7">
          <cell r="A7">
            <v>43070</v>
          </cell>
          <cell r="B7">
            <v>22.7986537113786</v>
          </cell>
          <cell r="C7">
            <v>22.7986537113786</v>
          </cell>
          <cell r="D7">
            <v>52.6315789473684</v>
          </cell>
        </row>
        <row r="8">
          <cell r="A8">
            <v>43101</v>
          </cell>
          <cell r="B8">
            <v>22.7079805409412</v>
          </cell>
          <cell r="C8">
            <v>22.7079805409412</v>
          </cell>
          <cell r="D8">
            <v>52.0012754387552</v>
          </cell>
        </row>
        <row r="9">
          <cell r="A9">
            <v>43132</v>
          </cell>
          <cell r="B9">
            <v>22.3206435472942</v>
          </cell>
          <cell r="C9">
            <v>22.3206435472942</v>
          </cell>
          <cell r="D9">
            <v>52.6933654700582</v>
          </cell>
        </row>
        <row r="10">
          <cell r="A10">
            <v>43160</v>
          </cell>
          <cell r="B10">
            <v>22.8205705575667</v>
          </cell>
          <cell r="C10">
            <v>22.8205705575667</v>
          </cell>
          <cell r="D10">
            <v>51.6333812550881</v>
          </cell>
        </row>
        <row r="11">
          <cell r="A11">
            <v>43191</v>
          </cell>
          <cell r="B11">
            <v>23.6464886550541</v>
          </cell>
          <cell r="C11">
            <v>23.6464886550541</v>
          </cell>
          <cell r="D11">
            <v>50.466829027834</v>
          </cell>
        </row>
        <row r="12">
          <cell r="A12">
            <v>43221</v>
          </cell>
          <cell r="B12">
            <v>22.2553495187861</v>
          </cell>
          <cell r="C12">
            <v>22.2553495187861</v>
          </cell>
          <cell r="D12">
            <v>55.4504491188655</v>
          </cell>
        </row>
        <row r="13">
          <cell r="A13">
            <v>43252</v>
          </cell>
          <cell r="B13">
            <v>22.2003411017115</v>
          </cell>
          <cell r="C13">
            <v>22.2003411017115</v>
          </cell>
          <cell r="D13">
            <v>54.2107082257052</v>
          </cell>
        </row>
        <row r="14">
          <cell r="A14">
            <v>43282</v>
          </cell>
          <cell r="B14">
            <v>22.1937722674708</v>
          </cell>
          <cell r="C14">
            <v>22.1937722674708</v>
          </cell>
          <cell r="D14">
            <v>53.2566307579573</v>
          </cell>
        </row>
        <row r="15">
          <cell r="A15">
            <v>43313</v>
          </cell>
          <cell r="B15">
            <v>22.5690459796496</v>
          </cell>
          <cell r="C15">
            <v>22.5690459796496</v>
          </cell>
          <cell r="D15">
            <v>52.064366409099</v>
          </cell>
        </row>
      </sheetData>
      <sheetData sheetId="12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BGA 41_Diagramme"/>
    </sheetNames>
    <sheetDataSet>
      <sheetData sheetId="0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Zuordnung_Gesamtübersicht"/>
      <sheetName val="BGA09_Datenblatt"/>
      <sheetName val="BGA09_Diagramme"/>
      <sheetName val="BGA 09_Ökonomie_vorläufig"/>
      <sheetName val="BGA10_Datenblatt"/>
      <sheetName val="BGA10_Diagramme"/>
      <sheetName val="BGA 10_Ökonomie_vorläufig"/>
      <sheetName val="BGA11_Datenblatt"/>
      <sheetName val="BGA11_Diagramme"/>
      <sheetName val="BGA 11_Ökonomie_vorläufig"/>
      <sheetName val="BGA12_Datenblatt "/>
      <sheetName val="BGA12_Diagramme "/>
      <sheetName val="BGA 12_Ökonomie_vorläufig"/>
      <sheetName val="BGA 13_Datenblatt"/>
      <sheetName val="BGA 13_Diagramme"/>
      <sheetName val="BGA 13_Ökonomie_vorläufig"/>
      <sheetName val="BGA 14_Datenblatt"/>
      <sheetName val="BGA 14_Diagramme"/>
      <sheetName val="BGA 14_Ökonomie_vorläufig"/>
      <sheetName val="BGA 15_Datenblatt"/>
      <sheetName val="BGA 15_Diagramme"/>
      <sheetName val="BGA 15_Ökonomie_vorläufig"/>
      <sheetName val="BGA 16_Datenblatt"/>
      <sheetName val="BGA 16_Diagramme"/>
      <sheetName val="BGA 16_Ökonomie_vorläufig"/>
      <sheetName val="BGA 40_Datenblatt"/>
      <sheetName val="BGA 40_Diagramme"/>
      <sheetName val="BGA 40_Ökonomie_vorläufig"/>
      <sheetName val="BGA 41_Datenblatt"/>
      <sheetName val="BGA 41_Diagramme"/>
      <sheetName val="BGA 41_Ökonomie_vorläufig"/>
      <sheetName val="BGA 42_Datenblatt"/>
      <sheetName val="BGA 42_Diagramme"/>
      <sheetName val="BGA 42 Ökonomie_vorläufig"/>
      <sheetName val="BGA 43_Datenblatt"/>
      <sheetName val="BGA 43_Diagramme"/>
      <sheetName val="BGA 43_Ökonomie_vorläufig"/>
      <sheetName val="BGA 44_Datenblatt"/>
      <sheetName val="BGA 44_Diagramme"/>
      <sheetName val="BGA 44_Ökonomie_vorläufig"/>
      <sheetName val="BGA 45_Datenblatt"/>
      <sheetName val="BGA 45_Diagramme"/>
      <sheetName val="BGA 45_KEINE ÖKONOMIE!!!"/>
      <sheetName val="BGA 46_Datenblatt"/>
      <sheetName val="BGA 46_Diagramme"/>
      <sheetName val="BGA 46_Ökonomie_vorläu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2">
          <cell r="E2" t="str">
            <v>Getreideschrot</v>
          </cell>
          <cell r="F2" t="str">
            <v>Additive</v>
          </cell>
          <cell r="G2" t="str">
            <v>Fütterungsmenge</v>
          </cell>
        </row>
        <row r="4">
          <cell r="E4">
            <v>1.99909006934774</v>
          </cell>
          <cell r="F4">
            <v>0.0413604841934016</v>
          </cell>
          <cell r="G4">
            <v>72.533</v>
          </cell>
        </row>
        <row r="5">
          <cell r="E5">
            <v>0</v>
          </cell>
          <cell r="F5">
            <v>0.0421813246769919</v>
          </cell>
          <cell r="G5">
            <v>70.3567741935484</v>
          </cell>
        </row>
        <row r="6">
          <cell r="E6">
            <v>1.0405215274856</v>
          </cell>
          <cell r="F6">
            <v>0.0407160597711757</v>
          </cell>
          <cell r="G6">
            <v>73.681</v>
          </cell>
        </row>
        <row r="7">
          <cell r="E7">
            <v>1.73044809953537</v>
          </cell>
          <cell r="F7">
            <v>0.0406655303390813</v>
          </cell>
          <cell r="G7">
            <v>74.5658064516129</v>
          </cell>
        </row>
        <row r="8">
          <cell r="E8">
            <v>2.54225968105413</v>
          </cell>
          <cell r="F8">
            <v>0.0405037983083201</v>
          </cell>
          <cell r="G8">
            <v>74.8635483870968</v>
          </cell>
        </row>
        <row r="9">
          <cell r="E9">
            <v>2.62595806438755</v>
          </cell>
          <cell r="F9">
            <v>0.0393893709658133</v>
          </cell>
          <cell r="G9">
            <v>76.1626785714286</v>
          </cell>
        </row>
        <row r="10">
          <cell r="E10">
            <v>2.68477300677256</v>
          </cell>
          <cell r="F10">
            <v>0.0407046230059065</v>
          </cell>
          <cell r="G10">
            <v>74.4941935483871</v>
          </cell>
        </row>
        <row r="11">
          <cell r="E11">
            <v>2.19626829613506</v>
          </cell>
          <cell r="F11">
            <v>0.0439253659227011</v>
          </cell>
          <cell r="G11">
            <v>68.2976666666667</v>
          </cell>
        </row>
        <row r="12">
          <cell r="E12">
            <v>0</v>
          </cell>
          <cell r="F12">
            <v>0.0388518435622073</v>
          </cell>
          <cell r="G12">
            <v>76.3861290322581</v>
          </cell>
        </row>
        <row r="13">
          <cell r="E13">
            <v>1.34943249833933</v>
          </cell>
          <cell r="F13">
            <v>0.0391770725324321</v>
          </cell>
          <cell r="G13">
            <v>76.5754</v>
          </cell>
        </row>
        <row r="14">
          <cell r="E14">
            <v>2.31623809243053</v>
          </cell>
          <cell r="F14">
            <v>0.039586614670631</v>
          </cell>
          <cell r="G14">
            <v>76.598064516129</v>
          </cell>
        </row>
        <row r="15">
          <cell r="E15">
            <v>2.74143778848851</v>
          </cell>
          <cell r="F15">
            <v>0.0561038431132533</v>
          </cell>
          <cell r="G15">
            <v>50.5974193548387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07-17"/>
      <sheetName val="08-17"/>
      <sheetName val="09-17"/>
      <sheetName val="10-17"/>
      <sheetName val="11-17"/>
      <sheetName val="12-17"/>
      <sheetName val="01-18"/>
      <sheetName val="02-18"/>
      <sheetName val="03-18"/>
      <sheetName val="04-18"/>
      <sheetName val="05-18"/>
      <sheetName val="06-18"/>
      <sheetName val="07-18"/>
      <sheetName val="Strom_Wärmeverbrauch"/>
      <sheetName val="Labordaten BGA 42"/>
      <sheetName val="Tabellen für Auswertung"/>
      <sheetName val="Auswertung"/>
      <sheetName val="Finales Datenblatt"/>
      <sheetName val="Biogas_Nm"/>
      <sheetName val="Datentabelle"/>
      <sheetName val="BGA42_Datenblatt"/>
      <sheetName val="BGA42_Diagramme "/>
      <sheetName val="Tabelle1"/>
      <sheetName val="2018-06-27 Diagramme BGA 4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6">
          <cell r="H16">
            <v>6.4194407629533</v>
          </cell>
          <cell r="I16">
            <v>70.1350194247358</v>
          </cell>
        </row>
        <row r="17">
          <cell r="H17">
            <v>7.39168180599559</v>
          </cell>
          <cell r="I17">
            <v>68.8426954973095</v>
          </cell>
        </row>
        <row r="18">
          <cell r="H18">
            <v>4.9597762074471</v>
          </cell>
          <cell r="I18">
            <v>67.9941812024829</v>
          </cell>
        </row>
        <row r="19">
          <cell r="H19">
            <v>4.77275800475804</v>
          </cell>
          <cell r="I19">
            <v>68.4596695520349</v>
          </cell>
        </row>
        <row r="20">
          <cell r="H20">
            <v>4.45480177781896</v>
          </cell>
          <cell r="I20">
            <v>67.3051310330979</v>
          </cell>
        </row>
        <row r="21">
          <cell r="H21">
            <v>4.68094594143162</v>
          </cell>
          <cell r="I21">
            <v>69.2686110839953</v>
          </cell>
        </row>
        <row r="22">
          <cell r="H22">
            <v>4.52976713841038</v>
          </cell>
          <cell r="I22">
            <v>68.1309251308644</v>
          </cell>
        </row>
        <row r="23">
          <cell r="H23">
            <v>4.28524506926124</v>
          </cell>
          <cell r="I23">
            <v>66.7179337470286</v>
          </cell>
        </row>
        <row r="24">
          <cell r="H24">
            <v>4.69686859727726</v>
          </cell>
          <cell r="I24">
            <v>67.5034971529168</v>
          </cell>
        </row>
        <row r="25">
          <cell r="H25">
            <v>3.6119674758741</v>
          </cell>
          <cell r="I25">
            <v>66.273492108567</v>
          </cell>
        </row>
        <row r="26">
          <cell r="H26">
            <v>4.34746148977729</v>
          </cell>
          <cell r="I26">
            <v>68.1343547138451</v>
          </cell>
        </row>
        <row r="27">
          <cell r="H27">
            <v>4.14440865653143</v>
          </cell>
          <cell r="I27">
            <v>66.3859028656168</v>
          </cell>
        </row>
      </sheetData>
      <sheetData sheetId="15">
        <row r="16">
          <cell r="H16">
            <v>34409.17</v>
          </cell>
        </row>
        <row r="33">
          <cell r="H33">
            <v>94.1781603302611</v>
          </cell>
        </row>
        <row r="33">
          <cell r="N33">
            <v>8457</v>
          </cell>
        </row>
        <row r="50">
          <cell r="B50">
            <v>0.849075987592842</v>
          </cell>
          <cell r="C50">
            <v>0.130168498687995</v>
          </cell>
          <cell r="D50">
            <v>0.0178940671919724</v>
          </cell>
          <cell r="E50">
            <v>0.00128105385860804</v>
          </cell>
          <cell r="F50">
            <v>0.00158039266858224</v>
          </cell>
        </row>
        <row r="50">
          <cell r="P50">
            <v>4486140</v>
          </cell>
        </row>
        <row r="84">
          <cell r="H84">
            <v>11.1970544565675</v>
          </cell>
        </row>
        <row r="84">
          <cell r="N84">
            <v>186672</v>
          </cell>
          <cell r="O84">
            <v>200619</v>
          </cell>
          <cell r="P84">
            <v>387291</v>
          </cell>
        </row>
        <row r="101">
          <cell r="H101">
            <v>81.1725037758416</v>
          </cell>
        </row>
        <row r="118">
          <cell r="H118">
            <v>45.23084323563</v>
          </cell>
        </row>
        <row r="123">
          <cell r="O123">
            <v>76000</v>
          </cell>
          <cell r="P123">
            <v>152100</v>
          </cell>
        </row>
        <row r="124">
          <cell r="O124">
            <v>63000</v>
          </cell>
          <cell r="P124">
            <v>149100</v>
          </cell>
        </row>
        <row r="125">
          <cell r="O125">
            <v>115000</v>
          </cell>
          <cell r="P125">
            <v>219900</v>
          </cell>
        </row>
        <row r="126">
          <cell r="O126">
            <v>175000</v>
          </cell>
          <cell r="P126">
            <v>315200</v>
          </cell>
        </row>
        <row r="127">
          <cell r="O127">
            <v>161000</v>
          </cell>
          <cell r="P127">
            <v>309300</v>
          </cell>
        </row>
        <row r="128">
          <cell r="O128">
            <v>172000</v>
          </cell>
          <cell r="P128">
            <v>307600</v>
          </cell>
        </row>
        <row r="129">
          <cell r="O129">
            <v>153000</v>
          </cell>
          <cell r="P129">
            <v>280100</v>
          </cell>
        </row>
        <row r="130">
          <cell r="O130">
            <v>147000</v>
          </cell>
          <cell r="P130">
            <v>304500</v>
          </cell>
        </row>
        <row r="131">
          <cell r="O131">
            <v>104000</v>
          </cell>
          <cell r="P131">
            <v>183500</v>
          </cell>
        </row>
        <row r="132">
          <cell r="O132">
            <v>143000</v>
          </cell>
          <cell r="P132">
            <v>206700</v>
          </cell>
        </row>
        <row r="133">
          <cell r="O133">
            <v>124000</v>
          </cell>
          <cell r="P133">
            <v>202700</v>
          </cell>
        </row>
        <row r="134">
          <cell r="O134">
            <v>102000</v>
          </cell>
          <cell r="P134">
            <v>175800</v>
          </cell>
        </row>
        <row r="135">
          <cell r="N135">
            <v>1271500</v>
          </cell>
        </row>
      </sheetData>
      <sheetData sheetId="16">
        <row r="4">
          <cell r="K4">
            <v>42948</v>
          </cell>
          <cell r="L4">
            <v>87.5270246800458</v>
          </cell>
          <cell r="M4">
            <v>8.67844074333591</v>
          </cell>
          <cell r="N4">
            <v>3.17888092372003</v>
          </cell>
          <cell r="O4">
            <v>0</v>
          </cell>
          <cell r="P4">
            <v>0.615653652898303</v>
          </cell>
        </row>
        <row r="4">
          <cell r="U4">
            <v>107.727096774194</v>
          </cell>
        </row>
        <row r="5">
          <cell r="K5">
            <v>42979</v>
          </cell>
          <cell r="L5">
            <v>86.5057692822531</v>
          </cell>
          <cell r="M5">
            <v>10.1136454903221</v>
          </cell>
          <cell r="N5">
            <v>1.25826573501459</v>
          </cell>
          <cell r="O5">
            <v>0.990549621181699</v>
          </cell>
          <cell r="P5">
            <v>1.13176987122855</v>
          </cell>
        </row>
        <row r="5">
          <cell r="U5">
            <v>99.608</v>
          </cell>
        </row>
        <row r="6">
          <cell r="K6">
            <v>43009</v>
          </cell>
          <cell r="L6">
            <v>84.2083846684224</v>
          </cell>
          <cell r="M6">
            <v>15.2882488800473</v>
          </cell>
          <cell r="N6">
            <v>0</v>
          </cell>
          <cell r="O6">
            <v>0.503366451530257</v>
          </cell>
          <cell r="P6">
            <v>0</v>
          </cell>
        </row>
        <row r="6">
          <cell r="U6">
            <v>85.6170967741936</v>
          </cell>
        </row>
        <row r="7">
          <cell r="K7">
            <v>43040</v>
          </cell>
          <cell r="L7">
            <v>84.9316589960918</v>
          </cell>
          <cell r="M7">
            <v>13.5078475881075</v>
          </cell>
          <cell r="N7">
            <v>1.52161991433946</v>
          </cell>
          <cell r="O7">
            <v>0.0388735014612272</v>
          </cell>
          <cell r="P7">
            <v>0</v>
          </cell>
        </row>
        <row r="7">
          <cell r="U7">
            <v>96.038</v>
          </cell>
        </row>
        <row r="8">
          <cell r="K8">
            <v>43070</v>
          </cell>
          <cell r="L8">
            <v>87.4707289123611</v>
          </cell>
          <cell r="M8">
            <v>10.4133451248069</v>
          </cell>
          <cell r="N8">
            <v>2.11592596283195</v>
          </cell>
          <cell r="O8">
            <v>0</v>
          </cell>
          <cell r="P8">
            <v>0</v>
          </cell>
        </row>
        <row r="8">
          <cell r="U8">
            <v>103.592258064516</v>
          </cell>
        </row>
        <row r="9">
          <cell r="K9">
            <v>43101</v>
          </cell>
          <cell r="L9">
            <v>86.2769283821915</v>
          </cell>
          <cell r="M9">
            <v>11.3158060526482</v>
          </cell>
          <cell r="N9">
            <v>2.4072655651603</v>
          </cell>
          <cell r="O9">
            <v>0</v>
          </cell>
          <cell r="P9">
            <v>0</v>
          </cell>
        </row>
        <row r="9">
          <cell r="U9">
            <v>97.2861290322581</v>
          </cell>
        </row>
        <row r="10">
          <cell r="K10">
            <v>43132</v>
          </cell>
          <cell r="L10">
            <v>82.8020541435698</v>
          </cell>
          <cell r="M10">
            <v>15.2535252056795</v>
          </cell>
          <cell r="N10">
            <v>1.94442065075072</v>
          </cell>
          <cell r="O10">
            <v>0</v>
          </cell>
          <cell r="P10">
            <v>0</v>
          </cell>
        </row>
        <row r="10">
          <cell r="U10">
            <v>87.5582142857143</v>
          </cell>
        </row>
        <row r="11">
          <cell r="K11">
            <v>43160</v>
          </cell>
          <cell r="L11">
            <v>89.3345013313443</v>
          </cell>
          <cell r="M11">
            <v>9.02972323651092</v>
          </cell>
          <cell r="N11">
            <v>1.63577543214481</v>
          </cell>
          <cell r="O11">
            <v>0</v>
          </cell>
          <cell r="P11">
            <v>0</v>
          </cell>
        </row>
        <row r="11">
          <cell r="U11">
            <v>111.577741935484</v>
          </cell>
        </row>
        <row r="12">
          <cell r="K12">
            <v>43191</v>
          </cell>
          <cell r="L12">
            <v>71.5457072575645</v>
          </cell>
          <cell r="M12">
            <v>25.764454132752</v>
          </cell>
          <cell r="N12">
            <v>2.68983860968342</v>
          </cell>
          <cell r="O12">
            <v>0</v>
          </cell>
          <cell r="P12">
            <v>0</v>
          </cell>
        </row>
        <row r="12">
          <cell r="U12">
            <v>66.6706666666667</v>
          </cell>
        </row>
        <row r="13">
          <cell r="K13">
            <v>43221</v>
          </cell>
          <cell r="L13">
            <v>81.1672723045744</v>
          </cell>
          <cell r="M13">
            <v>16.6054290089607</v>
          </cell>
          <cell r="N13">
            <v>2.22729868646488</v>
          </cell>
          <cell r="O13">
            <v>0</v>
          </cell>
          <cell r="P13">
            <v>0</v>
          </cell>
        </row>
        <row r="13">
          <cell r="U13">
            <v>63.8267741935484</v>
          </cell>
        </row>
        <row r="14">
          <cell r="K14">
            <v>43252</v>
          </cell>
          <cell r="L14">
            <v>87.6664347096486</v>
          </cell>
          <cell r="M14">
            <v>10.6678031450708</v>
          </cell>
          <cell r="N14">
            <v>1.66576214528056</v>
          </cell>
          <cell r="O14">
            <v>0</v>
          </cell>
          <cell r="P14">
            <v>0</v>
          </cell>
        </row>
        <row r="14">
          <cell r="U14">
            <v>100.114333333333</v>
          </cell>
        </row>
        <row r="15">
          <cell r="K15">
            <v>43282</v>
          </cell>
          <cell r="L15">
            <v>82.4535851986329</v>
          </cell>
          <cell r="M15">
            <v>16.5126073720802</v>
          </cell>
          <cell r="N15">
            <v>1.03380742928693</v>
          </cell>
          <cell r="O15">
            <v>0</v>
          </cell>
          <cell r="P15">
            <v>0</v>
          </cell>
        </row>
        <row r="15">
          <cell r="U15">
            <v>110.521612903226</v>
          </cell>
        </row>
        <row r="16">
          <cell r="K16" t="str">
            <v>Jahresmenge</v>
          </cell>
          <cell r="L16">
            <v>84.9075987592842</v>
          </cell>
          <cell r="M16">
            <v>13.0168498687995</v>
          </cell>
          <cell r="N16">
            <v>1.78940671919724</v>
          </cell>
          <cell r="O16">
            <v>0.128105385860804</v>
          </cell>
          <cell r="P16">
            <v>0.158039266858224</v>
          </cell>
        </row>
        <row r="16">
          <cell r="U16">
            <v>1130.13792396313</v>
          </cell>
        </row>
        <row r="156">
          <cell r="P156">
            <v>2275027.31412299</v>
          </cell>
        </row>
        <row r="182">
          <cell r="L182">
            <v>5.99719009877346</v>
          </cell>
        </row>
        <row r="182">
          <cell r="N182">
            <v>72.9590334868496</v>
          </cell>
        </row>
        <row r="182">
          <cell r="P182">
            <v>4.92232243509807</v>
          </cell>
        </row>
        <row r="182">
          <cell r="R182">
            <v>70.3901565670788</v>
          </cell>
        </row>
        <row r="196">
          <cell r="O196">
            <v>0.130108754485862</v>
          </cell>
        </row>
        <row r="197">
          <cell r="O197">
            <v>0.104650748353695</v>
          </cell>
        </row>
        <row r="198">
          <cell r="O198">
            <v>0.107879652065079</v>
          </cell>
        </row>
        <row r="199">
          <cell r="O199">
            <v>0.0998346558567252</v>
          </cell>
        </row>
        <row r="200">
          <cell r="O200">
            <v>0.117848677400744</v>
          </cell>
        </row>
        <row r="201">
          <cell r="O201">
            <v>0.116393327630723</v>
          </cell>
        </row>
        <row r="202">
          <cell r="O202">
            <v>0.105966842038407</v>
          </cell>
        </row>
        <row r="203">
          <cell r="O203">
            <v>0.0899392139483671</v>
          </cell>
        </row>
        <row r="204">
          <cell r="O204">
            <v>0.122715677347589</v>
          </cell>
        </row>
        <row r="205">
          <cell r="O205">
            <v>0.13550024213675</v>
          </cell>
        </row>
        <row r="206">
          <cell r="O206">
            <v>0.115861967509405</v>
          </cell>
        </row>
        <row r="207">
          <cell r="O207">
            <v>0.155758959337214</v>
          </cell>
        </row>
        <row r="208">
          <cell r="O208">
            <v>0.116871559842547</v>
          </cell>
        </row>
        <row r="230">
          <cell r="L230">
            <v>1926.66666666667</v>
          </cell>
          <cell r="M230">
            <v>3833.23759729195</v>
          </cell>
          <cell r="N230">
            <v>7.86833333333333</v>
          </cell>
        </row>
      </sheetData>
      <sheetData sheetId="17">
        <row r="5">
          <cell r="K5">
            <v>42.36875</v>
          </cell>
        </row>
        <row r="6">
          <cell r="K6">
            <v>43.4233333333333</v>
          </cell>
        </row>
        <row r="7">
          <cell r="K7">
            <v>43.8354166666667</v>
          </cell>
        </row>
        <row r="8">
          <cell r="K8">
            <v>43.8029166666667</v>
          </cell>
        </row>
        <row r="9">
          <cell r="K9">
            <v>43.8425</v>
          </cell>
        </row>
        <row r="10">
          <cell r="K10">
            <v>43.4875</v>
          </cell>
        </row>
        <row r="11">
          <cell r="K11">
            <v>43.6058333333333</v>
          </cell>
        </row>
        <row r="12">
          <cell r="K12">
            <v>44.2266666666667</v>
          </cell>
        </row>
        <row r="13">
          <cell r="K13">
            <v>44.42875</v>
          </cell>
        </row>
        <row r="14">
          <cell r="K14">
            <v>43.37625</v>
          </cell>
        </row>
        <row r="15">
          <cell r="K15">
            <v>43.2645833333333</v>
          </cell>
        </row>
        <row r="16">
          <cell r="K16">
            <v>43.23125</v>
          </cell>
        </row>
        <row r="17">
          <cell r="K17">
            <v>39.5554166666667</v>
          </cell>
        </row>
        <row r="18">
          <cell r="K18">
            <v>42.3583333333333</v>
          </cell>
        </row>
        <row r="19">
          <cell r="K19">
            <v>45.3695833333333</v>
          </cell>
        </row>
        <row r="20">
          <cell r="K20">
            <v>45.08875</v>
          </cell>
        </row>
        <row r="21">
          <cell r="K21">
            <v>44.7441666666667</v>
          </cell>
        </row>
        <row r="22">
          <cell r="K22">
            <v>43.8120833333333</v>
          </cell>
        </row>
        <row r="23">
          <cell r="K23">
            <v>43.5029166666667</v>
          </cell>
        </row>
        <row r="24">
          <cell r="K24">
            <v>43.4654166666667</v>
          </cell>
        </row>
        <row r="25">
          <cell r="K25">
            <v>44.6129166666667</v>
          </cell>
        </row>
        <row r="26">
          <cell r="K26">
            <v>45.1554166666667</v>
          </cell>
        </row>
        <row r="27">
          <cell r="K27">
            <v>44.7395833333333</v>
          </cell>
        </row>
        <row r="28">
          <cell r="K28">
            <v>43.4841666666667</v>
          </cell>
        </row>
        <row r="29">
          <cell r="K29">
            <v>43.2766666666667</v>
          </cell>
        </row>
        <row r="30">
          <cell r="K30">
            <v>43.925</v>
          </cell>
        </row>
        <row r="31">
          <cell r="K31">
            <v>44.615</v>
          </cell>
        </row>
        <row r="32">
          <cell r="K32">
            <v>44.6979166666667</v>
          </cell>
        </row>
        <row r="33">
          <cell r="K33">
            <v>44.3441666666667</v>
          </cell>
        </row>
        <row r="34">
          <cell r="K34">
            <v>43.2570833333333</v>
          </cell>
        </row>
        <row r="35">
          <cell r="K35">
            <v>43.5370833333333</v>
          </cell>
        </row>
        <row r="36">
          <cell r="K36">
            <v>44.3083333333333</v>
          </cell>
        </row>
        <row r="37">
          <cell r="K37">
            <v>44.4395833333333</v>
          </cell>
        </row>
        <row r="38">
          <cell r="K38">
            <v>43.745</v>
          </cell>
        </row>
        <row r="39">
          <cell r="K39">
            <v>43.78</v>
          </cell>
        </row>
        <row r="40">
          <cell r="K40">
            <v>43.5658333333333</v>
          </cell>
        </row>
        <row r="41">
          <cell r="K41">
            <v>43.5354166666667</v>
          </cell>
        </row>
        <row r="42">
          <cell r="K42">
            <v>43.3045833333333</v>
          </cell>
        </row>
        <row r="43">
          <cell r="K43">
            <v>43.4570833333333</v>
          </cell>
        </row>
        <row r="44">
          <cell r="K44">
            <v>43.3954166666667</v>
          </cell>
        </row>
        <row r="45">
          <cell r="K45">
            <v>43.48875</v>
          </cell>
        </row>
        <row r="46">
          <cell r="K46">
            <v>43.36875</v>
          </cell>
        </row>
        <row r="47">
          <cell r="K47">
            <v>43.4520833333333</v>
          </cell>
        </row>
        <row r="48">
          <cell r="K48">
            <v>43.4345833333333</v>
          </cell>
        </row>
        <row r="49">
          <cell r="K49">
            <v>43.5920833333333</v>
          </cell>
        </row>
        <row r="50">
          <cell r="K50">
            <v>43.2154166666667</v>
          </cell>
        </row>
        <row r="51">
          <cell r="K51">
            <v>43.67125</v>
          </cell>
        </row>
        <row r="52">
          <cell r="K52">
            <v>43.98875</v>
          </cell>
        </row>
        <row r="53">
          <cell r="K53">
            <v>43.7983333333333</v>
          </cell>
        </row>
        <row r="54">
          <cell r="K54">
            <v>43.4391666666667</v>
          </cell>
        </row>
        <row r="55">
          <cell r="K55">
            <v>43.4708333333333</v>
          </cell>
        </row>
        <row r="56">
          <cell r="K56">
            <v>43.515</v>
          </cell>
        </row>
        <row r="57">
          <cell r="K57">
            <v>43.63</v>
          </cell>
        </row>
        <row r="58">
          <cell r="K58">
            <v>43.5991666666667</v>
          </cell>
        </row>
        <row r="59">
          <cell r="K59">
            <v>43.34875</v>
          </cell>
        </row>
        <row r="60">
          <cell r="K60">
            <v>43.4570833333333</v>
          </cell>
        </row>
        <row r="61">
          <cell r="K61">
            <v>43.2329166666667</v>
          </cell>
        </row>
        <row r="62">
          <cell r="K62">
            <v>43.0441666666667</v>
          </cell>
        </row>
        <row r="63">
          <cell r="K63">
            <v>43.17125</v>
          </cell>
        </row>
        <row r="64">
          <cell r="K64">
            <v>43.4204166666667</v>
          </cell>
        </row>
        <row r="65">
          <cell r="K65">
            <v>43.5820833333333</v>
          </cell>
        </row>
        <row r="66">
          <cell r="K66">
            <v>43.86</v>
          </cell>
        </row>
        <row r="67">
          <cell r="K67">
            <v>43.9591666666667</v>
          </cell>
        </row>
        <row r="68">
          <cell r="K68">
            <v>43.7066666666667</v>
          </cell>
        </row>
        <row r="69">
          <cell r="K69">
            <v>43.8920833333333</v>
          </cell>
        </row>
        <row r="70">
          <cell r="K70">
            <v>43.9441666666667</v>
          </cell>
        </row>
        <row r="71">
          <cell r="K71">
            <v>43.6370833333333</v>
          </cell>
        </row>
        <row r="72">
          <cell r="K72">
            <v>43.8908333333333</v>
          </cell>
        </row>
        <row r="73">
          <cell r="K73">
            <v>43.9379166666667</v>
          </cell>
        </row>
        <row r="74">
          <cell r="K74">
            <v>44.0058333333333</v>
          </cell>
        </row>
        <row r="75">
          <cell r="K75">
            <v>44.0883333333333</v>
          </cell>
        </row>
        <row r="76">
          <cell r="K76">
            <v>44.31125</v>
          </cell>
        </row>
        <row r="77">
          <cell r="K77">
            <v>44.4529166666667</v>
          </cell>
        </row>
        <row r="78">
          <cell r="K78">
            <v>44.5658333333333</v>
          </cell>
        </row>
        <row r="79">
          <cell r="K79">
            <v>45.0975</v>
          </cell>
        </row>
        <row r="80">
          <cell r="K80">
            <v>45.0891666666667</v>
          </cell>
        </row>
        <row r="81">
          <cell r="K81">
            <v>44.8945833333333</v>
          </cell>
        </row>
        <row r="82">
          <cell r="K82">
            <v>44.4579166666667</v>
          </cell>
        </row>
        <row r="83">
          <cell r="K83">
            <v>44.0420833333333</v>
          </cell>
        </row>
        <row r="84">
          <cell r="K84">
            <v>43.71625</v>
          </cell>
        </row>
        <row r="85">
          <cell r="K85">
            <v>43.9608333333333</v>
          </cell>
        </row>
        <row r="86">
          <cell r="K86">
            <v>43.9354166666667</v>
          </cell>
        </row>
        <row r="87">
          <cell r="K87">
            <v>44.02875</v>
          </cell>
        </row>
        <row r="88">
          <cell r="K88">
            <v>44.1445833333333</v>
          </cell>
        </row>
        <row r="89">
          <cell r="K89">
            <v>44.0791666666667</v>
          </cell>
        </row>
        <row r="90">
          <cell r="K90">
            <v>43.9829166666667</v>
          </cell>
        </row>
        <row r="91">
          <cell r="K91">
            <v>43.99625</v>
          </cell>
        </row>
        <row r="92">
          <cell r="K92">
            <v>43.9325</v>
          </cell>
        </row>
        <row r="93">
          <cell r="K93">
            <v>43.8420833333333</v>
          </cell>
        </row>
        <row r="94">
          <cell r="K94">
            <v>44.0104166666667</v>
          </cell>
        </row>
        <row r="95">
          <cell r="K95">
            <v>43.8079166666667</v>
          </cell>
        </row>
        <row r="96">
          <cell r="K96">
            <v>44.0458333333333</v>
          </cell>
        </row>
        <row r="97">
          <cell r="K97">
            <v>43.8266666666667</v>
          </cell>
        </row>
        <row r="98">
          <cell r="K98">
            <v>44.0116666666667</v>
          </cell>
        </row>
        <row r="99">
          <cell r="K99">
            <v>43.7816666666667</v>
          </cell>
        </row>
        <row r="100">
          <cell r="K100">
            <v>43.9679166666667</v>
          </cell>
        </row>
        <row r="101">
          <cell r="K101">
            <v>44.05</v>
          </cell>
        </row>
        <row r="102">
          <cell r="K102">
            <v>43.7429166666667</v>
          </cell>
        </row>
        <row r="103">
          <cell r="K103">
            <v>43.8404166666667</v>
          </cell>
        </row>
        <row r="104">
          <cell r="K104">
            <v>43.9720833333333</v>
          </cell>
        </row>
        <row r="105">
          <cell r="K105">
            <v>43.9975</v>
          </cell>
        </row>
        <row r="106">
          <cell r="K106">
            <v>43.88</v>
          </cell>
        </row>
        <row r="107">
          <cell r="K107">
            <v>43.9554166666667</v>
          </cell>
        </row>
        <row r="108">
          <cell r="K108">
            <v>43.8441666666667</v>
          </cell>
        </row>
        <row r="109">
          <cell r="K109">
            <v>43.8766666666667</v>
          </cell>
        </row>
        <row r="110">
          <cell r="K110">
            <v>44.0425</v>
          </cell>
        </row>
        <row r="111">
          <cell r="K111">
            <v>43.9320833333333</v>
          </cell>
        </row>
        <row r="112">
          <cell r="K112">
            <v>43.9308333333333</v>
          </cell>
        </row>
        <row r="113">
          <cell r="K113">
            <v>43.79375</v>
          </cell>
        </row>
        <row r="114">
          <cell r="K114">
            <v>43.9533333333333</v>
          </cell>
        </row>
        <row r="115">
          <cell r="K115">
            <v>43.8595833333333</v>
          </cell>
        </row>
        <row r="116">
          <cell r="K116">
            <v>44.0275</v>
          </cell>
        </row>
        <row r="117">
          <cell r="K117">
            <v>43.7504166666667</v>
          </cell>
        </row>
        <row r="118">
          <cell r="K118">
            <v>43.97125</v>
          </cell>
        </row>
        <row r="119">
          <cell r="K119">
            <v>43.86375</v>
          </cell>
        </row>
        <row r="120">
          <cell r="K120">
            <v>43.8745833333333</v>
          </cell>
        </row>
        <row r="121">
          <cell r="K121">
            <v>43.85625</v>
          </cell>
        </row>
        <row r="122">
          <cell r="K122">
            <v>43.91</v>
          </cell>
        </row>
        <row r="123">
          <cell r="K123">
            <v>43.9908333333333</v>
          </cell>
        </row>
        <row r="124">
          <cell r="K124">
            <v>44.0170833333333</v>
          </cell>
        </row>
        <row r="125">
          <cell r="K125">
            <v>43.9508333333333</v>
          </cell>
        </row>
        <row r="126">
          <cell r="K126">
            <v>43.6183333333333</v>
          </cell>
        </row>
        <row r="127">
          <cell r="K127">
            <v>43.7941666666667</v>
          </cell>
        </row>
        <row r="128">
          <cell r="K128">
            <v>43.88</v>
          </cell>
        </row>
        <row r="129">
          <cell r="K129">
            <v>43.6983333333333</v>
          </cell>
        </row>
        <row r="130">
          <cell r="K130">
            <v>43.0770833333333</v>
          </cell>
        </row>
        <row r="131">
          <cell r="K131">
            <v>43.82125</v>
          </cell>
        </row>
        <row r="132">
          <cell r="K132">
            <v>43.485</v>
          </cell>
        </row>
        <row r="133">
          <cell r="K133">
            <v>43.9520833333333</v>
          </cell>
        </row>
        <row r="134">
          <cell r="K134">
            <v>44.0625</v>
          </cell>
        </row>
        <row r="135">
          <cell r="K135">
            <v>44.1566666666667</v>
          </cell>
        </row>
        <row r="136">
          <cell r="K136">
            <v>43.6904166666667</v>
          </cell>
        </row>
        <row r="137">
          <cell r="K137">
            <v>43.3941666666667</v>
          </cell>
        </row>
        <row r="138">
          <cell r="K138">
            <v>43.7333333333333</v>
          </cell>
        </row>
        <row r="139">
          <cell r="K139">
            <v>44.17625</v>
          </cell>
        </row>
        <row r="140">
          <cell r="K140">
            <v>44.1170833333333</v>
          </cell>
        </row>
        <row r="141">
          <cell r="K141">
            <v>43.8983333333333</v>
          </cell>
        </row>
        <row r="142">
          <cell r="K142">
            <v>43.5791666666667</v>
          </cell>
        </row>
        <row r="143">
          <cell r="K143">
            <v>44.0454166666667</v>
          </cell>
        </row>
        <row r="144">
          <cell r="K144">
            <v>43.4120833333333</v>
          </cell>
        </row>
        <row r="145">
          <cell r="K145">
            <v>42.9816666666667</v>
          </cell>
        </row>
        <row r="146">
          <cell r="K146">
            <v>43.5845833333333</v>
          </cell>
        </row>
        <row r="147">
          <cell r="K147">
            <v>44.3204166666667</v>
          </cell>
        </row>
        <row r="148">
          <cell r="K148">
            <v>43.9075</v>
          </cell>
        </row>
        <row r="149">
          <cell r="K149">
            <v>44.0391666666667</v>
          </cell>
        </row>
        <row r="150">
          <cell r="K150">
            <v>43.9754166666667</v>
          </cell>
        </row>
        <row r="151">
          <cell r="K151">
            <v>43.87</v>
          </cell>
        </row>
        <row r="152">
          <cell r="K152">
            <v>44.0183333333333</v>
          </cell>
        </row>
        <row r="153">
          <cell r="K153">
            <v>43.9108333333333</v>
          </cell>
        </row>
        <row r="154">
          <cell r="K154">
            <v>43.9841666666667</v>
          </cell>
        </row>
        <row r="155">
          <cell r="K155">
            <v>43.5845833333333</v>
          </cell>
        </row>
        <row r="156">
          <cell r="K156">
            <v>44.1504166666667</v>
          </cell>
        </row>
        <row r="157">
          <cell r="K157">
            <v>43.905</v>
          </cell>
        </row>
        <row r="158">
          <cell r="K158">
            <v>44.0841666666667</v>
          </cell>
        </row>
        <row r="159">
          <cell r="K159">
            <v>44.0058333333333</v>
          </cell>
        </row>
        <row r="160">
          <cell r="K160">
            <v>43.99</v>
          </cell>
        </row>
        <row r="161">
          <cell r="K161">
            <v>44.0958333333333</v>
          </cell>
        </row>
        <row r="162">
          <cell r="K162">
            <v>43.9725</v>
          </cell>
        </row>
        <row r="163">
          <cell r="K163">
            <v>43.9079166666667</v>
          </cell>
        </row>
        <row r="164">
          <cell r="K164">
            <v>44.1008333333333</v>
          </cell>
        </row>
        <row r="165">
          <cell r="K165">
            <v>44.1391666666667</v>
          </cell>
        </row>
        <row r="166">
          <cell r="K166">
            <v>43.5420833333333</v>
          </cell>
        </row>
        <row r="167">
          <cell r="K167">
            <v>43.89625</v>
          </cell>
        </row>
        <row r="168">
          <cell r="K168">
            <v>43.5633333333333</v>
          </cell>
        </row>
        <row r="169">
          <cell r="K169">
            <v>43.87625</v>
          </cell>
        </row>
        <row r="170">
          <cell r="K170">
            <v>43.67</v>
          </cell>
        </row>
        <row r="171">
          <cell r="K171">
            <v>43.8429166666667</v>
          </cell>
        </row>
        <row r="172">
          <cell r="K172">
            <v>43.27375</v>
          </cell>
        </row>
        <row r="173">
          <cell r="K173">
            <v>43.0270833333333</v>
          </cell>
        </row>
        <row r="174">
          <cell r="K174">
            <v>42.7058333333333</v>
          </cell>
        </row>
        <row r="175">
          <cell r="K175">
            <v>42.9366666666667</v>
          </cell>
        </row>
        <row r="176">
          <cell r="K176">
            <v>43.49</v>
          </cell>
        </row>
        <row r="177">
          <cell r="K177">
            <v>43.1079166666667</v>
          </cell>
        </row>
        <row r="178">
          <cell r="K178">
            <v>42.505</v>
          </cell>
        </row>
        <row r="179">
          <cell r="K179">
            <v>42.1595833333333</v>
          </cell>
        </row>
        <row r="180">
          <cell r="K180">
            <v>42.9854166666667</v>
          </cell>
        </row>
        <row r="181">
          <cell r="K181">
            <v>43.7566666666667</v>
          </cell>
        </row>
        <row r="182">
          <cell r="K182">
            <v>43.34</v>
          </cell>
        </row>
        <row r="183">
          <cell r="K183">
            <v>43.7775</v>
          </cell>
        </row>
        <row r="184">
          <cell r="K184">
            <v>44.1141666666667</v>
          </cell>
        </row>
        <row r="185">
          <cell r="K185">
            <v>43.8441666666667</v>
          </cell>
        </row>
        <row r="186">
          <cell r="K186">
            <v>44.06125</v>
          </cell>
        </row>
        <row r="187">
          <cell r="K187">
            <v>44.2104166666667</v>
          </cell>
        </row>
        <row r="188">
          <cell r="K188">
            <v>44.41625</v>
          </cell>
        </row>
        <row r="189">
          <cell r="K189">
            <v>43.9116666666667</v>
          </cell>
        </row>
        <row r="190">
          <cell r="K190">
            <v>43.6404166666667</v>
          </cell>
        </row>
        <row r="191">
          <cell r="K191">
            <v>44.0704166666667</v>
          </cell>
        </row>
        <row r="192">
          <cell r="K192">
            <v>43.5045833333334</v>
          </cell>
        </row>
        <row r="193">
          <cell r="K193">
            <v>43.0920833333333</v>
          </cell>
        </row>
        <row r="194">
          <cell r="K194">
            <v>43.3741666666667</v>
          </cell>
        </row>
        <row r="195">
          <cell r="K195">
            <v>42.8308333333333</v>
          </cell>
        </row>
        <row r="196">
          <cell r="K196">
            <v>42.1654166666667</v>
          </cell>
        </row>
        <row r="197">
          <cell r="K197">
            <v>41.7791666666667</v>
          </cell>
        </row>
        <row r="198">
          <cell r="K198">
            <v>42.69625</v>
          </cell>
        </row>
        <row r="199">
          <cell r="K199">
            <v>43.3241666666667</v>
          </cell>
        </row>
        <row r="200">
          <cell r="K200">
            <v>42.7433333333333</v>
          </cell>
        </row>
        <row r="201">
          <cell r="K201">
            <v>42.0833333333333</v>
          </cell>
        </row>
        <row r="202">
          <cell r="K202">
            <v>41.46125</v>
          </cell>
        </row>
        <row r="203">
          <cell r="K203">
            <v>41.1908333333333</v>
          </cell>
        </row>
        <row r="204">
          <cell r="K204">
            <v>42.3520833333333</v>
          </cell>
        </row>
        <row r="205">
          <cell r="K205">
            <v>42.4258333333333</v>
          </cell>
        </row>
        <row r="206">
          <cell r="K206">
            <v>41.91625</v>
          </cell>
        </row>
        <row r="207">
          <cell r="K207">
            <v>42.5841666666667</v>
          </cell>
        </row>
        <row r="208">
          <cell r="K208">
            <v>43.2375</v>
          </cell>
        </row>
        <row r="209">
          <cell r="K209">
            <v>42.6804166666667</v>
          </cell>
        </row>
        <row r="210">
          <cell r="K210">
            <v>42.0404166666667</v>
          </cell>
        </row>
        <row r="211">
          <cell r="K211">
            <v>41.4183333333333</v>
          </cell>
        </row>
        <row r="212">
          <cell r="K212">
            <v>40.90125</v>
          </cell>
        </row>
        <row r="213">
          <cell r="K213">
            <v>41.9283333333333</v>
          </cell>
        </row>
        <row r="214">
          <cell r="K214">
            <v>43.1891666666667</v>
          </cell>
        </row>
        <row r="215">
          <cell r="K215">
            <v>43.78375</v>
          </cell>
        </row>
        <row r="216">
          <cell r="K216">
            <v>43.0429166666667</v>
          </cell>
        </row>
        <row r="217">
          <cell r="K217">
            <v>42.5075</v>
          </cell>
        </row>
        <row r="218">
          <cell r="K218">
            <v>43.2075</v>
          </cell>
        </row>
        <row r="219">
          <cell r="K219">
            <v>43.5795833333333</v>
          </cell>
        </row>
        <row r="220">
          <cell r="K220">
            <v>42.8133333333333</v>
          </cell>
        </row>
        <row r="221">
          <cell r="K221">
            <v>42.2741666666667</v>
          </cell>
        </row>
        <row r="222">
          <cell r="K222">
            <v>42.8533333333333</v>
          </cell>
        </row>
        <row r="223">
          <cell r="K223">
            <v>43.3720833333333</v>
          </cell>
        </row>
        <row r="224">
          <cell r="K224">
            <v>43.7958333333333</v>
          </cell>
        </row>
        <row r="225">
          <cell r="K225">
            <v>44.0383333333333</v>
          </cell>
        </row>
        <row r="226">
          <cell r="K226">
            <v>43.8333333333333</v>
          </cell>
        </row>
        <row r="227">
          <cell r="K227">
            <v>44.0170833333333</v>
          </cell>
        </row>
        <row r="228">
          <cell r="K228">
            <v>44.0220833333333</v>
          </cell>
        </row>
        <row r="229">
          <cell r="K229">
            <v>44.0854166666667</v>
          </cell>
        </row>
        <row r="230">
          <cell r="K230">
            <v>44.09</v>
          </cell>
        </row>
        <row r="231">
          <cell r="K231">
            <v>44.12125</v>
          </cell>
        </row>
        <row r="232">
          <cell r="K232">
            <v>44.2354166666667</v>
          </cell>
        </row>
        <row r="233">
          <cell r="K233">
            <v>44.5283333333333</v>
          </cell>
        </row>
        <row r="234">
          <cell r="K234">
            <v>44.6533333333333</v>
          </cell>
        </row>
        <row r="235">
          <cell r="K235">
            <v>44.0858333333333</v>
          </cell>
        </row>
        <row r="236">
          <cell r="K236">
            <v>44.3854166666667</v>
          </cell>
        </row>
        <row r="237">
          <cell r="K237">
            <v>43.90375</v>
          </cell>
        </row>
        <row r="238">
          <cell r="K238">
            <v>44.3495833333333</v>
          </cell>
        </row>
        <row r="239">
          <cell r="K239">
            <v>43.73125</v>
          </cell>
        </row>
        <row r="240">
          <cell r="K240">
            <v>43.7916666666667</v>
          </cell>
        </row>
        <row r="241">
          <cell r="K241">
            <v>43.9521739130435</v>
          </cell>
        </row>
        <row r="242">
          <cell r="K242">
            <v>44.4033333333333</v>
          </cell>
        </row>
        <row r="243">
          <cell r="K243">
            <v>43.6316666666667</v>
          </cell>
        </row>
        <row r="244">
          <cell r="K244">
            <v>43.2558333333333</v>
          </cell>
        </row>
        <row r="245">
          <cell r="K245">
            <v>43.7520833333333</v>
          </cell>
        </row>
        <row r="246">
          <cell r="K246">
            <v>43.3933333333333</v>
          </cell>
        </row>
        <row r="247">
          <cell r="K247">
            <v>43.9125</v>
          </cell>
        </row>
        <row r="248">
          <cell r="K248">
            <v>43.1158333333333</v>
          </cell>
        </row>
        <row r="249">
          <cell r="K249">
            <v>43.2833333333333</v>
          </cell>
        </row>
        <row r="250">
          <cell r="K250">
            <v>43.6783333333333</v>
          </cell>
        </row>
        <row r="251">
          <cell r="K251">
            <v>43.34</v>
          </cell>
        </row>
        <row r="252">
          <cell r="K252">
            <v>43.8975</v>
          </cell>
        </row>
        <row r="253">
          <cell r="K253">
            <v>43.7554166666667</v>
          </cell>
        </row>
        <row r="254">
          <cell r="K254">
            <v>43.8004166666667</v>
          </cell>
        </row>
        <row r="255">
          <cell r="K255">
            <v>43.7766666666667</v>
          </cell>
        </row>
        <row r="256">
          <cell r="K256">
            <v>44.06375</v>
          </cell>
        </row>
        <row r="257">
          <cell r="K257">
            <v>44.5125</v>
          </cell>
        </row>
        <row r="258">
          <cell r="K258">
            <v>44.5554166666667</v>
          </cell>
        </row>
        <row r="259">
          <cell r="K259">
            <v>44.3195833333333</v>
          </cell>
        </row>
        <row r="260">
          <cell r="K260">
            <v>44.1804166666667</v>
          </cell>
        </row>
        <row r="261">
          <cell r="K261">
            <v>44.1516666666667</v>
          </cell>
        </row>
        <row r="262">
          <cell r="K262">
            <v>44.2266666666667</v>
          </cell>
        </row>
        <row r="263">
          <cell r="K263">
            <v>44.1120833333333</v>
          </cell>
        </row>
        <row r="264">
          <cell r="K264">
            <v>44.1254166666667</v>
          </cell>
        </row>
        <row r="265">
          <cell r="K265">
            <v>44.14125</v>
          </cell>
        </row>
        <row r="266">
          <cell r="K266">
            <v>44.17375</v>
          </cell>
        </row>
        <row r="267">
          <cell r="K267">
            <v>44.2570833333333</v>
          </cell>
        </row>
        <row r="268">
          <cell r="K268">
            <v>44.2354166666667</v>
          </cell>
        </row>
        <row r="269">
          <cell r="K269">
            <v>44.2491666666667</v>
          </cell>
        </row>
        <row r="270">
          <cell r="K270">
            <v>44.2358333333333</v>
          </cell>
        </row>
        <row r="271">
          <cell r="K271">
            <v>44.1270833333333</v>
          </cell>
        </row>
        <row r="272">
          <cell r="K272">
            <v>44.06625</v>
          </cell>
        </row>
        <row r="273">
          <cell r="K273">
            <v>43.9075</v>
          </cell>
        </row>
        <row r="274">
          <cell r="K274">
            <v>43.6545833333333</v>
          </cell>
        </row>
        <row r="275">
          <cell r="K275">
            <v>43.7425</v>
          </cell>
        </row>
        <row r="276">
          <cell r="K276">
            <v>44.1245833333333</v>
          </cell>
        </row>
        <row r="277">
          <cell r="K277">
            <v>44.07625</v>
          </cell>
        </row>
        <row r="278">
          <cell r="K278">
            <v>44.0933333333333</v>
          </cell>
        </row>
        <row r="279">
          <cell r="K279">
            <v>44.0741666666667</v>
          </cell>
        </row>
        <row r="280">
          <cell r="K280">
            <v>44.0929166666667</v>
          </cell>
        </row>
        <row r="281">
          <cell r="K281">
            <v>44.0804166666667</v>
          </cell>
        </row>
        <row r="282">
          <cell r="K282">
            <v>44.0741666666667</v>
          </cell>
        </row>
        <row r="283">
          <cell r="K283">
            <v>44.0979166666667</v>
          </cell>
        </row>
        <row r="284">
          <cell r="K284">
            <v>44.0991666666667</v>
          </cell>
        </row>
        <row r="285">
          <cell r="K285">
            <v>44.1266666666667</v>
          </cell>
        </row>
        <row r="286">
          <cell r="K286">
            <v>44.1008333333333</v>
          </cell>
        </row>
        <row r="287">
          <cell r="K287">
            <v>44.1229166666667</v>
          </cell>
        </row>
        <row r="288">
          <cell r="K288">
            <v>44.12875</v>
          </cell>
        </row>
        <row r="289">
          <cell r="K289">
            <v>44.1454166666667</v>
          </cell>
        </row>
        <row r="290">
          <cell r="K290">
            <v>44.1583333333333</v>
          </cell>
        </row>
        <row r="291">
          <cell r="K291">
            <v>44.1366666666667</v>
          </cell>
        </row>
        <row r="292">
          <cell r="K292">
            <v>44.1320833333333</v>
          </cell>
        </row>
        <row r="293">
          <cell r="K293">
            <v>44.0445833333333</v>
          </cell>
        </row>
        <row r="294">
          <cell r="K294">
            <v>44.0491666666667</v>
          </cell>
        </row>
        <row r="295">
          <cell r="K295">
            <v>44.03</v>
          </cell>
        </row>
        <row r="296">
          <cell r="K296">
            <v>43.8925</v>
          </cell>
        </row>
        <row r="297">
          <cell r="K297">
            <v>43.9729166666667</v>
          </cell>
        </row>
        <row r="298">
          <cell r="K298">
            <v>43.98</v>
          </cell>
        </row>
        <row r="299">
          <cell r="K299">
            <v>43.8033333333333</v>
          </cell>
        </row>
        <row r="300">
          <cell r="K300">
            <v>43.3291666666667</v>
          </cell>
        </row>
        <row r="301">
          <cell r="K301">
            <v>43.9566666666667</v>
          </cell>
        </row>
        <row r="302">
          <cell r="K302">
            <v>43.8983333333333</v>
          </cell>
        </row>
        <row r="303">
          <cell r="K303">
            <v>43.9029166666667</v>
          </cell>
        </row>
        <row r="304">
          <cell r="K304">
            <v>43.86125</v>
          </cell>
        </row>
        <row r="305">
          <cell r="K305">
            <v>44.0525</v>
          </cell>
        </row>
        <row r="306">
          <cell r="K306">
            <v>44.0729166666667</v>
          </cell>
        </row>
        <row r="307">
          <cell r="K307">
            <v>43.9970833333333</v>
          </cell>
        </row>
        <row r="308">
          <cell r="K308">
            <v>44.08625</v>
          </cell>
        </row>
        <row r="309">
          <cell r="K309">
            <v>43.9345833333333</v>
          </cell>
        </row>
        <row r="310">
          <cell r="K310">
            <v>43.9579166666667</v>
          </cell>
        </row>
        <row r="311">
          <cell r="K311">
            <v>44.0416666666667</v>
          </cell>
        </row>
        <row r="312">
          <cell r="K312">
            <v>43.9891666666667</v>
          </cell>
        </row>
        <row r="313">
          <cell r="K313">
            <v>44.02</v>
          </cell>
        </row>
        <row r="314">
          <cell r="K314">
            <v>43.76625</v>
          </cell>
        </row>
        <row r="315">
          <cell r="K315">
            <v>43.5691666666667</v>
          </cell>
        </row>
        <row r="316">
          <cell r="K316">
            <v>43.4241666666667</v>
          </cell>
        </row>
        <row r="317">
          <cell r="K317">
            <v>44.0904166666667</v>
          </cell>
        </row>
        <row r="318">
          <cell r="K318">
            <v>43.9975</v>
          </cell>
        </row>
        <row r="319">
          <cell r="K319">
            <v>44.0375</v>
          </cell>
        </row>
        <row r="320">
          <cell r="K320">
            <v>43.935</v>
          </cell>
        </row>
        <row r="321">
          <cell r="K321">
            <v>43.8254166666667</v>
          </cell>
        </row>
        <row r="322">
          <cell r="K322">
            <v>43.8591666666667</v>
          </cell>
        </row>
        <row r="323">
          <cell r="K323">
            <v>44.1491666666667</v>
          </cell>
        </row>
        <row r="324">
          <cell r="K324">
            <v>43.9316666666667</v>
          </cell>
        </row>
        <row r="325">
          <cell r="K325">
            <v>44.03625</v>
          </cell>
        </row>
        <row r="326">
          <cell r="K326">
            <v>44.03</v>
          </cell>
        </row>
        <row r="327">
          <cell r="K327">
            <v>44.14375</v>
          </cell>
        </row>
        <row r="328">
          <cell r="K328">
            <v>44.2916666666667</v>
          </cell>
        </row>
        <row r="329">
          <cell r="K329">
            <v>44.2754166666667</v>
          </cell>
        </row>
        <row r="330">
          <cell r="K330">
            <v>44.2145833333333</v>
          </cell>
        </row>
        <row r="331">
          <cell r="K331">
            <v>44.32</v>
          </cell>
        </row>
        <row r="332">
          <cell r="K332">
            <v>44.3058333333333</v>
          </cell>
        </row>
        <row r="333">
          <cell r="K333">
            <v>44.34375</v>
          </cell>
        </row>
        <row r="334">
          <cell r="K334">
            <v>44.4175</v>
          </cell>
        </row>
        <row r="335">
          <cell r="K335">
            <v>44.4045833333333</v>
          </cell>
        </row>
        <row r="336">
          <cell r="K336">
            <v>44.4029166666667</v>
          </cell>
        </row>
        <row r="337">
          <cell r="K337">
            <v>44.3691666666667</v>
          </cell>
        </row>
        <row r="338">
          <cell r="K338">
            <v>44.3845833333333</v>
          </cell>
        </row>
        <row r="339">
          <cell r="K339">
            <v>44.4091666666667</v>
          </cell>
        </row>
        <row r="340">
          <cell r="K340">
            <v>44.3954166666667</v>
          </cell>
        </row>
        <row r="341">
          <cell r="K341">
            <v>44.4279166666667</v>
          </cell>
        </row>
        <row r="342">
          <cell r="K342">
            <v>44.4204166666667</v>
          </cell>
        </row>
        <row r="343">
          <cell r="K343">
            <v>44.4554166666667</v>
          </cell>
        </row>
        <row r="344">
          <cell r="K344">
            <v>44.41125</v>
          </cell>
        </row>
        <row r="345">
          <cell r="K345">
            <v>44.4104166666667</v>
          </cell>
        </row>
        <row r="346">
          <cell r="K346">
            <v>44.2683333333333</v>
          </cell>
        </row>
        <row r="347">
          <cell r="K347">
            <v>44.0533333333333</v>
          </cell>
        </row>
        <row r="348">
          <cell r="K348">
            <v>43.5941666666667</v>
          </cell>
        </row>
        <row r="349">
          <cell r="K349">
            <v>43.5745833333333</v>
          </cell>
        </row>
        <row r="350">
          <cell r="K350">
            <v>44.3375</v>
          </cell>
        </row>
        <row r="351">
          <cell r="K351">
            <v>44.2829166666667</v>
          </cell>
        </row>
        <row r="352">
          <cell r="K352">
            <v>43.98875</v>
          </cell>
        </row>
        <row r="353">
          <cell r="K353">
            <v>44.6875</v>
          </cell>
        </row>
        <row r="354">
          <cell r="K354">
            <v>44.74</v>
          </cell>
        </row>
        <row r="355">
          <cell r="K355">
            <v>44.92625</v>
          </cell>
        </row>
        <row r="356">
          <cell r="K356">
            <v>45.0054166666667</v>
          </cell>
        </row>
        <row r="357">
          <cell r="K357">
            <v>44.9845833333333</v>
          </cell>
        </row>
        <row r="358">
          <cell r="K358">
            <v>44.9570833333333</v>
          </cell>
        </row>
        <row r="359">
          <cell r="K359">
            <v>44.9791666666667</v>
          </cell>
        </row>
        <row r="360">
          <cell r="K360">
            <v>44.9766666666667</v>
          </cell>
        </row>
        <row r="361">
          <cell r="K361">
            <v>44.9779166666667</v>
          </cell>
        </row>
        <row r="362">
          <cell r="K362">
            <v>44.8933333333333</v>
          </cell>
        </row>
        <row r="363">
          <cell r="K363">
            <v>44.93</v>
          </cell>
        </row>
        <row r="364">
          <cell r="K364">
            <v>44.6445833333333</v>
          </cell>
        </row>
        <row r="365">
          <cell r="K365">
            <v>44.3083333333333</v>
          </cell>
        </row>
        <row r="366">
          <cell r="K366">
            <v>43.99625</v>
          </cell>
        </row>
        <row r="367">
          <cell r="K367">
            <v>44.1683333333334</v>
          </cell>
        </row>
        <row r="368">
          <cell r="K368">
            <v>44.19</v>
          </cell>
        </row>
        <row r="369">
          <cell r="K369">
            <v>44.1716666666667</v>
          </cell>
        </row>
        <row r="370">
          <cell r="AE370">
            <v>52.2042595045968</v>
          </cell>
        </row>
        <row r="370">
          <cell r="AG370">
            <v>0.41952206029949</v>
          </cell>
        </row>
        <row r="370">
          <cell r="AI370">
            <v>200.272090509454</v>
          </cell>
        </row>
      </sheetData>
      <sheetData sheetId="18">
        <row r="10">
          <cell r="E10">
            <v>391482.12</v>
          </cell>
        </row>
        <row r="11">
          <cell r="E11">
            <v>387252.18</v>
          </cell>
        </row>
        <row r="12">
          <cell r="E12">
            <v>354742.74</v>
          </cell>
        </row>
        <row r="13">
          <cell r="E13">
            <v>386927.82</v>
          </cell>
        </row>
        <row r="14">
          <cell r="E14">
            <v>400725.36</v>
          </cell>
        </row>
        <row r="15">
          <cell r="E15">
            <v>384751.14</v>
          </cell>
        </row>
        <row r="16">
          <cell r="E16">
            <v>358064.88</v>
          </cell>
        </row>
        <row r="17">
          <cell r="E17">
            <v>402075.84</v>
          </cell>
        </row>
        <row r="18">
          <cell r="E18">
            <v>381747.24</v>
          </cell>
        </row>
        <row r="19">
          <cell r="E19">
            <v>390572.28</v>
          </cell>
        </row>
        <row r="20">
          <cell r="E20">
            <v>354828.42</v>
          </cell>
        </row>
        <row r="21">
          <cell r="E21">
            <v>340524.96</v>
          </cell>
        </row>
      </sheetData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BGA 42_Datenblatt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BGA 42_Diagramme 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BGA 43_Diagramme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August"/>
      <sheetName val="September"/>
      <sheetName val="Oktober"/>
      <sheetName val="November"/>
      <sheetName val="Dezember"/>
      <sheetName val="Januar"/>
      <sheetName val="Februar"/>
      <sheetName val="März"/>
      <sheetName val="April"/>
      <sheetName val="Mai"/>
      <sheetName val="Juni"/>
      <sheetName val="Juli"/>
      <sheetName val="Temp."/>
      <sheetName val="Strom 2017"/>
      <sheetName val="Strom 2018_1"/>
      <sheetName val="Strom 2018_2"/>
      <sheetName val="Labortabelle BGA 44"/>
      <sheetName val="Tabellen für Auswertung"/>
      <sheetName val="Auswertung"/>
      <sheetName val="Finales Datenblatt"/>
      <sheetName val="Biogas_Nm"/>
      <sheetName val="Datentabelle"/>
      <sheetName val="BGA44_Datenblatt neu"/>
      <sheetName val="BGA44_Diagramme"/>
      <sheetName val="2018-06-28 Diagramme BGA 4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6">
          <cell r="J16">
            <v>14656.3</v>
          </cell>
        </row>
        <row r="33">
          <cell r="I33">
            <v>40.2098265488991</v>
          </cell>
        </row>
        <row r="33">
          <cell r="N33">
            <v>5499.568</v>
          </cell>
          <cell r="O33">
            <v>8123.5</v>
          </cell>
        </row>
        <row r="50">
          <cell r="B50">
            <v>0.385426080208071</v>
          </cell>
          <cell r="C50">
            <v>0.104539068376815</v>
          </cell>
          <cell r="D50">
            <v>0.447996930272106</v>
          </cell>
          <cell r="E50">
            <v>0.0330390402147576</v>
          </cell>
          <cell r="F50">
            <v>0.0100561018500852</v>
          </cell>
          <cell r="G50">
            <v>0.00360032005342133</v>
          </cell>
          <cell r="H50">
            <v>0.0153424590247435</v>
          </cell>
        </row>
        <row r="50">
          <cell r="N50">
            <v>2406061</v>
          </cell>
          <cell r="O50">
            <v>1543465</v>
          </cell>
        </row>
        <row r="50">
          <cell r="Q50">
            <v>3949526</v>
          </cell>
        </row>
        <row r="84">
          <cell r="I84">
            <v>23.2751952739824</v>
          </cell>
        </row>
        <row r="101">
          <cell r="I101">
            <v>76.3238370747815</v>
          </cell>
        </row>
        <row r="118">
          <cell r="I118">
            <v>56.4497590592052</v>
          </cell>
        </row>
        <row r="155">
          <cell r="N155">
            <v>43.9619718309859</v>
          </cell>
        </row>
      </sheetData>
      <sheetData sheetId="18">
        <row r="4">
          <cell r="L4">
            <v>50.0828576689376</v>
          </cell>
          <cell r="M4">
            <v>7.18099797459032</v>
          </cell>
          <cell r="N4">
            <v>33.1430675750322</v>
          </cell>
          <cell r="O4">
            <v>8.56195912354999</v>
          </cell>
          <cell r="P4">
            <v>0.785613453630393</v>
          </cell>
          <cell r="Q4">
            <v>0.245504204259498</v>
          </cell>
          <cell r="R4">
            <v>0</v>
          </cell>
          <cell r="S4">
            <v>52.558064516129</v>
          </cell>
        </row>
        <row r="5">
          <cell r="L5">
            <v>56.4388961892247</v>
          </cell>
          <cell r="M5">
            <v>3.84362680683311</v>
          </cell>
          <cell r="N5">
            <v>31.2417871222076</v>
          </cell>
          <cell r="O5">
            <v>6.80026281208936</v>
          </cell>
          <cell r="P5">
            <v>0.755584756898817</v>
          </cell>
          <cell r="Q5">
            <v>0.919842312746386</v>
          </cell>
          <cell r="R5">
            <v>0</v>
          </cell>
          <cell r="S5">
            <v>50.7333333333333</v>
          </cell>
        </row>
        <row r="6">
          <cell r="L6">
            <v>42.2571282226396</v>
          </cell>
          <cell r="M6">
            <v>6.6160150247567</v>
          </cell>
          <cell r="N6">
            <v>49.6756018439474</v>
          </cell>
          <cell r="O6">
            <v>0</v>
          </cell>
          <cell r="P6">
            <v>0</v>
          </cell>
          <cell r="Q6">
            <v>1.45125490865631</v>
          </cell>
          <cell r="R6">
            <v>0</v>
          </cell>
          <cell r="S6">
            <v>37.7870967741936</v>
          </cell>
        </row>
        <row r="7">
          <cell r="L7">
            <v>39.1408538208929</v>
          </cell>
          <cell r="M7">
            <v>7.63291026892695</v>
          </cell>
          <cell r="N7">
            <v>50.3062039584628</v>
          </cell>
          <cell r="O7">
            <v>0</v>
          </cell>
          <cell r="P7">
            <v>2.1656164018816</v>
          </cell>
          <cell r="Q7">
            <v>0.754415549835804</v>
          </cell>
          <cell r="R7">
            <v>0</v>
          </cell>
          <cell r="S7">
            <v>37.5566666666667</v>
          </cell>
        </row>
        <row r="8">
          <cell r="L8">
            <v>37.8956754346857</v>
          </cell>
          <cell r="M8">
            <v>8.29246544806063</v>
          </cell>
          <cell r="N8">
            <v>51.8234507356219</v>
          </cell>
          <cell r="O8">
            <v>0</v>
          </cell>
          <cell r="P8">
            <v>1.98840838163174</v>
          </cell>
          <cell r="Q8">
            <v>0</v>
          </cell>
          <cell r="R8">
            <v>0</v>
          </cell>
          <cell r="S8">
            <v>36.1774193548387</v>
          </cell>
        </row>
        <row r="9">
          <cell r="L9">
            <v>34.8327169519223</v>
          </cell>
          <cell r="M9">
            <v>11.4388922335942</v>
          </cell>
          <cell r="N9">
            <v>48.8432097703621</v>
          </cell>
          <cell r="O9">
            <v>0</v>
          </cell>
          <cell r="P9">
            <v>2.21897307990023</v>
          </cell>
          <cell r="Q9">
            <v>0</v>
          </cell>
          <cell r="R9">
            <v>2.66620796422121</v>
          </cell>
          <cell r="S9">
            <v>37.5064516129032</v>
          </cell>
        </row>
        <row r="10">
          <cell r="L10">
            <v>31.3791807591131</v>
          </cell>
          <cell r="M10">
            <v>13.8105975197294</v>
          </cell>
          <cell r="N10">
            <v>50.6106726794438</v>
          </cell>
          <cell r="O10">
            <v>0</v>
          </cell>
          <cell r="P10">
            <v>1.56895903795565</v>
          </cell>
          <cell r="Q10">
            <v>0</v>
          </cell>
          <cell r="R10">
            <v>2.63059000375799</v>
          </cell>
          <cell r="S10">
            <v>34.3354838709677</v>
          </cell>
        </row>
        <row r="11">
          <cell r="L11">
            <v>32.628936928184</v>
          </cell>
          <cell r="M11">
            <v>15.0595093514695</v>
          </cell>
          <cell r="N11">
            <v>48.8624402882358</v>
          </cell>
          <cell r="O11">
            <v>0</v>
          </cell>
          <cell r="P11">
            <v>0.939195206865841</v>
          </cell>
          <cell r="Q11">
            <v>0</v>
          </cell>
          <cell r="R11">
            <v>2.50991822524492</v>
          </cell>
          <cell r="S11">
            <v>44.1107142857143</v>
          </cell>
        </row>
        <row r="12">
          <cell r="L12">
            <v>33.5714900576741</v>
          </cell>
          <cell r="M12">
            <v>15.1071705259533</v>
          </cell>
          <cell r="N12">
            <v>47.4563140225531</v>
          </cell>
          <cell r="O12">
            <v>0</v>
          </cell>
          <cell r="P12">
            <v>1.28260308169063</v>
          </cell>
          <cell r="Q12">
            <v>0</v>
          </cell>
          <cell r="R12">
            <v>2.58242231212878</v>
          </cell>
          <cell r="S12">
            <v>37.4741935483871</v>
          </cell>
        </row>
        <row r="13">
          <cell r="L13">
            <v>34.4444444444444</v>
          </cell>
          <cell r="M13">
            <v>13.1623931623932</v>
          </cell>
          <cell r="N13">
            <v>45.4700854700855</v>
          </cell>
          <cell r="O13">
            <v>4.18803418803419</v>
          </cell>
          <cell r="P13">
            <v>0.0854700854700855</v>
          </cell>
          <cell r="Q13">
            <v>0</v>
          </cell>
          <cell r="R13">
            <v>2.64957264957265</v>
          </cell>
          <cell r="S13">
            <v>39</v>
          </cell>
        </row>
        <row r="14">
          <cell r="L14">
            <v>37.956204379562</v>
          </cell>
          <cell r="M14">
            <v>12.0681265206813</v>
          </cell>
          <cell r="N14">
            <v>37.956204379562</v>
          </cell>
          <cell r="O14">
            <v>9.09975669099757</v>
          </cell>
          <cell r="P14">
            <v>0</v>
          </cell>
          <cell r="Q14">
            <v>0</v>
          </cell>
          <cell r="R14">
            <v>2.91970802919708</v>
          </cell>
          <cell r="S14">
            <v>33.1451612903226</v>
          </cell>
        </row>
        <row r="15">
          <cell r="L15">
            <v>31.8829113924051</v>
          </cell>
          <cell r="M15">
            <v>11.2341772151899</v>
          </cell>
          <cell r="N15">
            <v>42.2072784810127</v>
          </cell>
          <cell r="O15">
            <v>10.996835443038</v>
          </cell>
          <cell r="P15">
            <v>0.276898734177215</v>
          </cell>
          <cell r="Q15">
            <v>0.949367088607595</v>
          </cell>
          <cell r="R15">
            <v>2.45253164556962</v>
          </cell>
          <cell r="S15">
            <v>42.1333333333333</v>
          </cell>
        </row>
        <row r="16">
          <cell r="L16">
            <v>38.5426080208071</v>
          </cell>
          <cell r="M16">
            <v>10.4539068376815</v>
          </cell>
          <cell r="N16">
            <v>44.7996930272106</v>
          </cell>
          <cell r="O16">
            <v>3.30390402147576</v>
          </cell>
          <cell r="P16">
            <v>1.00561018500852</v>
          </cell>
          <cell r="Q16">
            <v>0.360032005342133</v>
          </cell>
          <cell r="R16">
            <v>1.53424590247435</v>
          </cell>
          <cell r="S16">
            <v>40.2098265488991</v>
          </cell>
        </row>
        <row r="156">
          <cell r="Q156">
            <v>2019841.90298594</v>
          </cell>
        </row>
        <row r="182">
          <cell r="L182">
            <v>8.49560549743587</v>
          </cell>
        </row>
        <row r="182">
          <cell r="N182">
            <v>5.87679291060501</v>
          </cell>
        </row>
        <row r="182">
          <cell r="Q182">
            <v>6.80278869534287</v>
          </cell>
          <cell r="R182">
            <v>71.3619406762079</v>
          </cell>
        </row>
        <row r="208">
          <cell r="O208">
            <v>0.191538775834768</v>
          </cell>
        </row>
        <row r="230">
          <cell r="L230">
            <v>3.176</v>
          </cell>
          <cell r="M230">
            <v>6.34408193386617</v>
          </cell>
          <cell r="N230">
            <v>7.959</v>
          </cell>
        </row>
      </sheetData>
      <sheetData sheetId="19">
        <row r="370">
          <cell r="AH370">
            <v>51.8718309859155</v>
          </cell>
        </row>
        <row r="370">
          <cell r="AJ370">
            <v>0.235294117647059</v>
          </cell>
        </row>
        <row r="370">
          <cell r="AL370">
            <v>71.0791044776119</v>
          </cell>
        </row>
      </sheetData>
      <sheetData sheetId="20">
        <row r="10">
          <cell r="G10">
            <v>345780.113867726</v>
          </cell>
        </row>
        <row r="11">
          <cell r="G11">
            <v>327662.057850617</v>
          </cell>
        </row>
        <row r="12">
          <cell r="G12">
            <v>325132.833650298</v>
          </cell>
        </row>
        <row r="13">
          <cell r="G13">
            <v>315497.04977941</v>
          </cell>
        </row>
        <row r="14">
          <cell r="G14">
            <v>345517.337327433</v>
          </cell>
        </row>
        <row r="15">
          <cell r="G15">
            <v>337267.56756</v>
          </cell>
        </row>
        <row r="16">
          <cell r="G16">
            <v>312002.22672</v>
          </cell>
        </row>
        <row r="17">
          <cell r="G17">
            <v>348148.02588</v>
          </cell>
        </row>
        <row r="18">
          <cell r="G18">
            <v>304495.5408</v>
          </cell>
        </row>
        <row r="19">
          <cell r="G19">
            <v>309466.49652</v>
          </cell>
        </row>
        <row r="20">
          <cell r="G20">
            <v>253701.20544</v>
          </cell>
        </row>
        <row r="21">
          <cell r="G21">
            <v>291983.30484</v>
          </cell>
        </row>
      </sheetData>
      <sheetData sheetId="21"/>
      <sheetData sheetId="22"/>
      <sheetData sheetId="23"/>
      <sheetData sheetId="2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BGA 44_Datenblatt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BGA 44_Diagramme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08_2017"/>
      <sheetName val="09_2017"/>
      <sheetName val="10_2017"/>
      <sheetName val="11_2017"/>
      <sheetName val="12_2017"/>
      <sheetName val="01_2018"/>
      <sheetName val="02_2018"/>
      <sheetName val="03_2018"/>
      <sheetName val="04_2018"/>
      <sheetName val="05_2018"/>
      <sheetName val="06_2018"/>
      <sheetName val="07_2018"/>
      <sheetName val="Labordaten BGA 45"/>
      <sheetName val="Tabellen für Auswertung"/>
      <sheetName val="Auswertung"/>
      <sheetName val="Finales Datenblatt"/>
      <sheetName val="Datentabelle"/>
      <sheetName val="BGA45_Datenblatt"/>
      <sheetName val="BGA45_Diagramm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N4">
            <v>23299.2000280645</v>
          </cell>
        </row>
        <row r="4">
          <cell r="Q4">
            <v>21155.9342299576</v>
          </cell>
        </row>
        <row r="5">
          <cell r="N5">
            <v>28541.3016666667</v>
          </cell>
        </row>
        <row r="5">
          <cell r="Q5">
            <v>27863.5590333333</v>
          </cell>
        </row>
        <row r="6">
          <cell r="N6">
            <v>27092.1506451613</v>
          </cell>
        </row>
        <row r="6">
          <cell r="Q6">
            <v>25888.3244193548</v>
          </cell>
        </row>
        <row r="7">
          <cell r="N7">
            <v>27313.8393659333</v>
          </cell>
        </row>
        <row r="7">
          <cell r="Q7">
            <v>27017.9653247249</v>
          </cell>
        </row>
        <row r="8">
          <cell r="N8">
            <v>27044.5306435484</v>
          </cell>
        </row>
        <row r="8">
          <cell r="Q8">
            <v>26553.6895414426</v>
          </cell>
        </row>
        <row r="9">
          <cell r="N9">
            <v>26816.97533</v>
          </cell>
        </row>
        <row r="9">
          <cell r="Q9">
            <v>26430.2917426082</v>
          </cell>
        </row>
        <row r="10">
          <cell r="N10">
            <v>29304.7280264286</v>
          </cell>
        </row>
        <row r="10">
          <cell r="Q10">
            <v>28961.1313870737</v>
          </cell>
        </row>
        <row r="11">
          <cell r="N11">
            <v>30411.5181406452</v>
          </cell>
        </row>
        <row r="11">
          <cell r="Q11">
            <v>30399.8005977478</v>
          </cell>
        </row>
        <row r="12">
          <cell r="N12">
            <v>28413.916651</v>
          </cell>
        </row>
        <row r="12">
          <cell r="Q12">
            <v>28299.8541839777</v>
          </cell>
        </row>
        <row r="13">
          <cell r="N13">
            <v>26933.5006370968</v>
          </cell>
        </row>
        <row r="13">
          <cell r="Q13">
            <v>26547.4996486075</v>
          </cell>
        </row>
        <row r="14">
          <cell r="N14">
            <v>27075.6154353333</v>
          </cell>
        </row>
        <row r="14">
          <cell r="Q14">
            <v>26737.6829551297</v>
          </cell>
        </row>
        <row r="15">
          <cell r="N15">
            <v>27126.1620477419</v>
          </cell>
        </row>
        <row r="15">
          <cell r="Q15">
            <v>26427.5789837332</v>
          </cell>
        </row>
        <row r="16">
          <cell r="J16">
            <v>47159.026572592</v>
          </cell>
        </row>
        <row r="16">
          <cell r="P16">
            <v>13465.9579433059</v>
          </cell>
        </row>
        <row r="33">
          <cell r="J33">
            <v>129.358049457314</v>
          </cell>
        </row>
        <row r="33">
          <cell r="T33">
            <v>5316868.011181</v>
          </cell>
        </row>
        <row r="50">
          <cell r="B50">
            <v>0.123483580209639</v>
          </cell>
          <cell r="C50">
            <v>0.695678524599326</v>
          </cell>
          <cell r="D50">
            <v>0.180837895191035</v>
          </cell>
        </row>
        <row r="84">
          <cell r="J84">
            <v>31.8887586511474</v>
          </cell>
        </row>
        <row r="84">
          <cell r="N84">
            <v>1195416.801484</v>
          </cell>
        </row>
        <row r="101">
          <cell r="J101">
            <v>93.3325648029882</v>
          </cell>
        </row>
        <row r="118">
          <cell r="J118">
            <v>68.078050414175</v>
          </cell>
        </row>
        <row r="118">
          <cell r="N118">
            <v>108967</v>
          </cell>
        </row>
        <row r="153">
          <cell r="N153">
            <v>48.9110857132252</v>
          </cell>
          <cell r="O153">
            <v>46.5575449137041</v>
          </cell>
        </row>
        <row r="178">
          <cell r="O178">
            <v>0.174454040552002</v>
          </cell>
        </row>
        <row r="179">
          <cell r="O179">
            <v>0.15663110405299</v>
          </cell>
        </row>
        <row r="180">
          <cell r="O180">
            <v>0.172543453569136</v>
          </cell>
        </row>
        <row r="181">
          <cell r="O181">
            <v>0.160634143121414</v>
          </cell>
        </row>
        <row r="182">
          <cell r="O182">
            <v>0.178678742242658</v>
          </cell>
        </row>
        <row r="183">
          <cell r="O183">
            <v>0.144159098753717</v>
          </cell>
        </row>
        <row r="184">
          <cell r="O184">
            <v>0.152472865172099</v>
          </cell>
        </row>
        <row r="185">
          <cell r="O185">
            <v>0.136278844975341</v>
          </cell>
        </row>
        <row r="186">
          <cell r="O186">
            <v>0.165616409762364</v>
          </cell>
        </row>
        <row r="187">
          <cell r="O187">
            <v>0.160351621034804</v>
          </cell>
        </row>
        <row r="188">
          <cell r="O188">
            <v>0.165460291669486</v>
          </cell>
        </row>
        <row r="189">
          <cell r="O189">
            <v>0.205057527499518</v>
          </cell>
        </row>
      </sheetData>
      <sheetData sheetId="14">
        <row r="4">
          <cell r="L4">
            <v>10.4756948962503</v>
          </cell>
          <cell r="M4">
            <v>59.6828700691665</v>
          </cell>
          <cell r="N4">
            <v>29.8414350345832</v>
          </cell>
        </row>
        <row r="4">
          <cell r="R4">
            <v>0</v>
          </cell>
          <cell r="S4">
            <v>123.788847078065</v>
          </cell>
        </row>
        <row r="5">
          <cell r="L5">
            <v>11.0920256418892</v>
          </cell>
          <cell r="M5">
            <v>59.2719829054072</v>
          </cell>
          <cell r="N5">
            <v>29.6359914527036</v>
          </cell>
        </row>
        <row r="5">
          <cell r="R5">
            <v>0</v>
          </cell>
          <cell r="S5">
            <v>148.455</v>
          </cell>
        </row>
        <row r="6">
          <cell r="L6">
            <v>10.7947415232038</v>
          </cell>
          <cell r="M6">
            <v>79.9833489690575</v>
          </cell>
          <cell r="N6">
            <v>9.22190950773867</v>
          </cell>
        </row>
        <row r="6">
          <cell r="R6">
            <v>0</v>
          </cell>
          <cell r="S6">
            <v>132.382258064516</v>
          </cell>
        </row>
        <row r="7">
          <cell r="L7">
            <v>12.7540771851807</v>
          </cell>
          <cell r="M7">
            <v>70.8465390467793</v>
          </cell>
          <cell r="N7">
            <v>16.3993837680399</v>
          </cell>
        </row>
        <row r="7">
          <cell r="R7">
            <v>0</v>
          </cell>
          <cell r="S7">
            <v>127.0182057454</v>
          </cell>
        </row>
        <row r="8">
          <cell r="L8">
            <v>13.7563011042287</v>
          </cell>
          <cell r="M8">
            <v>57.4957992638475</v>
          </cell>
          <cell r="N8">
            <v>28.7478996319238</v>
          </cell>
        </row>
        <row r="8">
          <cell r="R8">
            <v>0</v>
          </cell>
          <cell r="S8">
            <v>130.849127709677</v>
          </cell>
        </row>
        <row r="9">
          <cell r="L9">
            <v>13.947201066185</v>
          </cell>
          <cell r="M9">
            <v>59.8691795075167</v>
          </cell>
          <cell r="N9">
            <v>26.1836194262983</v>
          </cell>
        </row>
        <row r="9">
          <cell r="R9">
            <v>0</v>
          </cell>
          <cell r="S9">
            <v>124.89498614129</v>
          </cell>
        </row>
        <row r="10">
          <cell r="L10">
            <v>14.1589230976895</v>
          </cell>
          <cell r="M10">
            <v>85.8410769023105</v>
          </cell>
          <cell r="N10">
            <v>0</v>
          </cell>
        </row>
        <row r="10">
          <cell r="R10">
            <v>0</v>
          </cell>
          <cell r="S10">
            <v>102.522832648387</v>
          </cell>
        </row>
        <row r="11">
          <cell r="L11">
            <v>13.7186402600612</v>
          </cell>
          <cell r="M11">
            <v>86.2813597399388</v>
          </cell>
          <cell r="N11">
            <v>0</v>
          </cell>
        </row>
        <row r="11">
          <cell r="R11">
            <v>0</v>
          </cell>
          <cell r="S11">
            <v>140.580363068929</v>
          </cell>
        </row>
        <row r="12">
          <cell r="L12">
            <v>12.5808979230959</v>
          </cell>
          <cell r="M12">
            <v>59.2114461596759</v>
          </cell>
          <cell r="N12">
            <v>28.2076559172282</v>
          </cell>
        </row>
        <row r="12">
          <cell r="R12">
            <v>0</v>
          </cell>
          <cell r="S12">
            <v>129.228172865806</v>
          </cell>
        </row>
        <row r="13">
          <cell r="L13">
            <v>9.90451828092202</v>
          </cell>
          <cell r="M13">
            <v>60.0636544793853</v>
          </cell>
          <cell r="N13">
            <v>30.0318272396927</v>
          </cell>
        </row>
        <row r="13">
          <cell r="R13">
            <v>0</v>
          </cell>
          <cell r="S13">
            <v>143.705457748</v>
          </cell>
        </row>
        <row r="14">
          <cell r="L14">
            <v>10.8939583284634</v>
          </cell>
          <cell r="M14">
            <v>78.8960527516</v>
          </cell>
          <cell r="N14">
            <v>10.2099889199367</v>
          </cell>
        </row>
        <row r="14">
          <cell r="R14">
            <v>0</v>
          </cell>
          <cell r="S14">
            <v>127.623269589032</v>
          </cell>
        </row>
        <row r="15">
          <cell r="L15">
            <v>14.1033169443969</v>
          </cell>
          <cell r="M15">
            <v>77.3709197245056</v>
          </cell>
          <cell r="N15">
            <v>8.52576333109753</v>
          </cell>
        </row>
        <row r="15">
          <cell r="R15">
            <v>0</v>
          </cell>
          <cell r="S15">
            <v>121.248072828667</v>
          </cell>
        </row>
        <row r="16">
          <cell r="L16">
            <v>12.3483580209639</v>
          </cell>
          <cell r="M16">
            <v>69.5678524599326</v>
          </cell>
          <cell r="N16">
            <v>18.0837895191035</v>
          </cell>
        </row>
        <row r="16">
          <cell r="R16" t="e">
            <v>#DIV/0!</v>
          </cell>
          <cell r="S16">
            <v>168.887678614301</v>
          </cell>
        </row>
        <row r="156">
          <cell r="Q156">
            <v>10011317.739948</v>
          </cell>
        </row>
        <row r="182">
          <cell r="L182">
            <v>8.88321244971417</v>
          </cell>
          <cell r="M182">
            <v>8.81869125934615</v>
          </cell>
        </row>
        <row r="182">
          <cell r="O182">
            <v>76.9581332171328</v>
          </cell>
          <cell r="P182">
            <v>77.2858904680159</v>
          </cell>
        </row>
        <row r="182">
          <cell r="W182">
            <v>6.06260828071355</v>
          </cell>
          <cell r="X182">
            <v>69.8665377612235</v>
          </cell>
        </row>
        <row r="196">
          <cell r="S196">
            <v>0.172013748885139</v>
          </cell>
        </row>
        <row r="197">
          <cell r="S197">
            <v>0.157514084908672</v>
          </cell>
        </row>
        <row r="198">
          <cell r="S198">
            <v>0.173716356939429</v>
          </cell>
        </row>
        <row r="199">
          <cell r="S199">
            <v>0.164027847739892</v>
          </cell>
        </row>
        <row r="200">
          <cell r="S200">
            <v>0.190586969565843</v>
          </cell>
        </row>
        <row r="201">
          <cell r="S201">
            <v>0.140892824655862</v>
          </cell>
        </row>
        <row r="202">
          <cell r="S202">
            <v>0.149091335657421</v>
          </cell>
        </row>
        <row r="203">
          <cell r="S203">
            <v>0.139744617602083</v>
          </cell>
        </row>
        <row r="204">
          <cell r="S204">
            <v>0.17189311757133</v>
          </cell>
        </row>
        <row r="205">
          <cell r="S205">
            <v>0.166973309959428</v>
          </cell>
        </row>
        <row r="206">
          <cell r="S206">
            <v>0.163585445654625</v>
          </cell>
        </row>
        <row r="207">
          <cell r="S207">
            <v>0.207792874058552</v>
          </cell>
        </row>
        <row r="208">
          <cell r="S208">
            <v>0.16648604443319</v>
          </cell>
          <cell r="T208">
            <v>0.164361511867127</v>
          </cell>
        </row>
        <row r="230">
          <cell r="M230">
            <v>5407.06694988884</v>
          </cell>
        </row>
        <row r="230">
          <cell r="O230">
            <v>2645</v>
          </cell>
        </row>
        <row r="230">
          <cell r="Q230">
            <v>8.05166666666667</v>
          </cell>
          <cell r="R230">
            <v>2663.33333333333</v>
          </cell>
          <cell r="S230">
            <v>5414.17555503469</v>
          </cell>
          <cell r="T230">
            <v>8.08333333333333</v>
          </cell>
        </row>
      </sheetData>
      <sheetData sheetId="15">
        <row r="370">
          <cell r="AN370">
            <v>27428.2677806794</v>
          </cell>
          <cell r="AO370">
            <v>51.2540007703836</v>
          </cell>
          <cell r="AP370">
            <v>46.1610258237535</v>
          </cell>
          <cell r="AQ370">
            <v>0.00981144422191781</v>
          </cell>
        </row>
        <row r="370">
          <cell r="AS370">
            <v>83.5765515338904</v>
          </cell>
        </row>
        <row r="371">
          <cell r="AN371">
            <v>10011317.739948</v>
          </cell>
        </row>
      </sheetData>
      <sheetData sheetId="16"/>
      <sheetData sheetId="17"/>
      <sheetData sheetId="18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BGA 45_Diagramme "/>
    </sheetNames>
    <sheetDataSet>
      <sheetData sheetId="0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11_16"/>
      <sheetName val="12_16"/>
      <sheetName val="1-17"/>
      <sheetName val="2-17"/>
      <sheetName val="3-17"/>
      <sheetName val="4-17"/>
      <sheetName val="5-17"/>
      <sheetName val="6-17"/>
      <sheetName val="7-17"/>
      <sheetName val="8-17"/>
      <sheetName val="9-17"/>
      <sheetName val="10-17"/>
      <sheetName val="11-17"/>
      <sheetName val="12-17"/>
      <sheetName val="01-18"/>
      <sheetName val="02-18"/>
      <sheetName val="03-18"/>
      <sheetName val="04-18"/>
      <sheetName val="05-18"/>
      <sheetName val="06-18"/>
      <sheetName val="07-18"/>
      <sheetName val="Jahresverlauf"/>
      <sheetName val="Tabellen für Auswertung"/>
      <sheetName val="Auswertung"/>
      <sheetName val="Finales Datenblatt"/>
      <sheetName val="Biogas_Nm"/>
      <sheetName val="Datenblatt"/>
      <sheetName val="Dia Broschü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>
            <v>42948</v>
          </cell>
        </row>
        <row r="5">
          <cell r="A5">
            <v>42979</v>
          </cell>
        </row>
        <row r="6">
          <cell r="A6">
            <v>43009</v>
          </cell>
        </row>
        <row r="7">
          <cell r="A7">
            <v>43040</v>
          </cell>
        </row>
        <row r="8">
          <cell r="A8">
            <v>43070</v>
          </cell>
        </row>
        <row r="9">
          <cell r="A9">
            <v>43101</v>
          </cell>
        </row>
        <row r="10">
          <cell r="A10">
            <v>43132</v>
          </cell>
        </row>
        <row r="11">
          <cell r="A11">
            <v>43160</v>
          </cell>
        </row>
        <row r="12">
          <cell r="A12">
            <v>43191</v>
          </cell>
        </row>
        <row r="13">
          <cell r="A13">
            <v>43221</v>
          </cell>
        </row>
        <row r="14">
          <cell r="A14">
            <v>43252</v>
          </cell>
        </row>
        <row r="15">
          <cell r="A15">
            <v>43282</v>
          </cell>
        </row>
      </sheetData>
      <sheetData sheetId="23"/>
      <sheetData sheetId="24"/>
      <sheetData sheetId="25"/>
      <sheetData sheetId="26"/>
      <sheetData sheetId="27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BGA 46_Diagramme"/>
    </sheetNames>
    <sheetDataSet>
      <sheetData sheetId="0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Pivot BTB Anlage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Hafer Getreide und Getreidekorn</v>
          </cell>
          <cell r="H2" t="str">
            <v>Zuckerrüben</v>
          </cell>
          <cell r="I2" t="str">
            <v>Grassilage</v>
          </cell>
          <cell r="J2" t="str">
            <v>Grünroggensilage</v>
          </cell>
        </row>
        <row r="2">
          <cell r="P2" t="str">
            <v>Putenmist</v>
          </cell>
          <cell r="Q2" t="str">
            <v>Weizenkleie</v>
          </cell>
        </row>
        <row r="4">
          <cell r="C4" t="str">
            <v>Sep</v>
          </cell>
          <cell r="D4">
            <v>0</v>
          </cell>
          <cell r="E4">
            <v>35.322153361048</v>
          </cell>
          <cell r="F4">
            <v>64.6778466389519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4">
          <cell r="P4">
            <v>0</v>
          </cell>
          <cell r="Q4">
            <v>0</v>
          </cell>
        </row>
        <row r="4">
          <cell r="Z4">
            <v>41.3338333333333</v>
          </cell>
        </row>
        <row r="5">
          <cell r="C5" t="str">
            <v>Okt</v>
          </cell>
          <cell r="D5">
            <v>0</v>
          </cell>
          <cell r="E5">
            <v>43.9159140947211</v>
          </cell>
          <cell r="F5">
            <v>56.0840859052789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5">
          <cell r="P5">
            <v>0</v>
          </cell>
          <cell r="Q5">
            <v>0</v>
          </cell>
        </row>
        <row r="5">
          <cell r="Z5">
            <v>49.3611935483871</v>
          </cell>
        </row>
        <row r="6">
          <cell r="C6" t="str">
            <v>Nov</v>
          </cell>
          <cell r="D6">
            <v>2.05786176214039</v>
          </cell>
          <cell r="E6">
            <v>42.352122717599</v>
          </cell>
          <cell r="F6">
            <v>55.5900155202606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6">
          <cell r="P6">
            <v>0</v>
          </cell>
          <cell r="Q6">
            <v>0</v>
          </cell>
        </row>
        <row r="6">
          <cell r="Z6">
            <v>50.2139333333333</v>
          </cell>
        </row>
        <row r="7">
          <cell r="C7" t="str">
            <v>Dez</v>
          </cell>
          <cell r="D7">
            <v>5.15598003870644</v>
          </cell>
          <cell r="E7">
            <v>37.3226426027653</v>
          </cell>
          <cell r="F7">
            <v>57.2353036273484</v>
          </cell>
          <cell r="G7">
            <v>0</v>
          </cell>
          <cell r="H7">
            <v>0</v>
          </cell>
          <cell r="I7">
            <v>0.286073731179841</v>
          </cell>
          <cell r="J7">
            <v>0</v>
          </cell>
        </row>
        <row r="7">
          <cell r="P7">
            <v>0</v>
          </cell>
          <cell r="Q7">
            <v>0</v>
          </cell>
        </row>
        <row r="7">
          <cell r="Z7">
            <v>48.4873870967742</v>
          </cell>
        </row>
        <row r="8">
          <cell r="C8" t="str">
            <v>Jan</v>
          </cell>
          <cell r="D8">
            <v>2.25292453768851</v>
          </cell>
          <cell r="E8">
            <v>41.2207013204838</v>
          </cell>
          <cell r="F8">
            <v>53.6835671542081</v>
          </cell>
          <cell r="G8">
            <v>0</v>
          </cell>
          <cell r="H8">
            <v>0</v>
          </cell>
          <cell r="I8">
            <v>2.84280698761958</v>
          </cell>
          <cell r="J8">
            <v>0</v>
          </cell>
        </row>
        <row r="8">
          <cell r="P8">
            <v>0</v>
          </cell>
          <cell r="Q8">
            <v>0</v>
          </cell>
        </row>
        <row r="8">
          <cell r="Z8">
            <v>45.3890322580645</v>
          </cell>
        </row>
        <row r="9">
          <cell r="C9" t="str">
            <v>Feb</v>
          </cell>
          <cell r="D9">
            <v>0</v>
          </cell>
          <cell r="E9">
            <v>42.5405737765535</v>
          </cell>
          <cell r="F9">
            <v>52.0362073810713</v>
          </cell>
          <cell r="G9">
            <v>0</v>
          </cell>
          <cell r="H9">
            <v>0</v>
          </cell>
          <cell r="I9">
            <v>5.4232188423752</v>
          </cell>
          <cell r="J9">
            <v>0</v>
          </cell>
        </row>
        <row r="9">
          <cell r="P9">
            <v>0</v>
          </cell>
          <cell r="Q9">
            <v>0</v>
          </cell>
        </row>
        <row r="9">
          <cell r="Z9">
            <v>50.7078928571429</v>
          </cell>
        </row>
        <row r="10">
          <cell r="C10" t="str">
            <v>Mrz</v>
          </cell>
          <cell r="D10">
            <v>2.76259980626534</v>
          </cell>
          <cell r="E10">
            <v>44.1428181809632</v>
          </cell>
          <cell r="F10">
            <v>45.3357910675156</v>
          </cell>
          <cell r="G10">
            <v>0</v>
          </cell>
          <cell r="H10">
            <v>0</v>
          </cell>
          <cell r="I10">
            <v>7.75879094525585</v>
          </cell>
          <cell r="J10">
            <v>0</v>
          </cell>
        </row>
        <row r="10">
          <cell r="P10">
            <v>0</v>
          </cell>
          <cell r="Q10">
            <v>0</v>
          </cell>
        </row>
        <row r="10">
          <cell r="Z10">
            <v>54.8805161290323</v>
          </cell>
        </row>
        <row r="11">
          <cell r="C11" t="str">
            <v>Apr</v>
          </cell>
          <cell r="D11">
            <v>0</v>
          </cell>
          <cell r="E11">
            <v>44.7850963937757</v>
          </cell>
          <cell r="F11">
            <v>53.4057495598294</v>
          </cell>
          <cell r="G11">
            <v>0</v>
          </cell>
          <cell r="H11">
            <v>0</v>
          </cell>
          <cell r="I11">
            <v>1.8091540463949</v>
          </cell>
          <cell r="J11">
            <v>0</v>
          </cell>
        </row>
        <row r="11">
          <cell r="P11">
            <v>0</v>
          </cell>
          <cell r="Q11">
            <v>0</v>
          </cell>
        </row>
        <row r="11">
          <cell r="Z11">
            <v>48.8257666666667</v>
          </cell>
        </row>
        <row r="12">
          <cell r="C12" t="str">
            <v>Mai</v>
          </cell>
          <cell r="D12">
            <v>4.82341788677702</v>
          </cell>
          <cell r="E12">
            <v>41.1598326338305</v>
          </cell>
          <cell r="F12">
            <v>50.4795763624226</v>
          </cell>
          <cell r="G12">
            <v>0</v>
          </cell>
          <cell r="H12">
            <v>0</v>
          </cell>
          <cell r="I12">
            <v>3.53717311696981</v>
          </cell>
          <cell r="J12">
            <v>0</v>
          </cell>
        </row>
        <row r="12">
          <cell r="P12">
            <v>0</v>
          </cell>
          <cell r="Q12">
            <v>0</v>
          </cell>
        </row>
        <row r="12">
          <cell r="Z12">
            <v>50.1585161290323</v>
          </cell>
        </row>
        <row r="13">
          <cell r="C13" t="str">
            <v>Jun</v>
          </cell>
          <cell r="D13">
            <v>2.60897333768394</v>
          </cell>
          <cell r="E13">
            <v>41.4652829135901</v>
          </cell>
          <cell r="F13">
            <v>51.577454852586</v>
          </cell>
          <cell r="G13">
            <v>0</v>
          </cell>
          <cell r="H13">
            <v>0</v>
          </cell>
          <cell r="I13">
            <v>4.3482888961399</v>
          </cell>
          <cell r="J13">
            <v>0</v>
          </cell>
        </row>
        <row r="13">
          <cell r="P13">
            <v>0</v>
          </cell>
          <cell r="Q13">
            <v>0</v>
          </cell>
        </row>
        <row r="13">
          <cell r="Z13">
            <v>47.9115666666667</v>
          </cell>
        </row>
        <row r="14">
          <cell r="C14" t="str">
            <v>Jul</v>
          </cell>
          <cell r="D14">
            <v>1.47833911813858</v>
          </cell>
          <cell r="E14">
            <v>46.6640956421134</v>
          </cell>
          <cell r="F14">
            <v>47.8724771821571</v>
          </cell>
          <cell r="G14">
            <v>0</v>
          </cell>
          <cell r="H14">
            <v>0</v>
          </cell>
          <cell r="I14">
            <v>3.98508805759095</v>
          </cell>
          <cell r="J14">
            <v>0</v>
          </cell>
        </row>
        <row r="14">
          <cell r="P14">
            <v>0</v>
          </cell>
          <cell r="Q14">
            <v>0</v>
          </cell>
        </row>
        <row r="14">
          <cell r="Z14">
            <v>50.1870967741935</v>
          </cell>
        </row>
        <row r="15">
          <cell r="C15" t="str">
            <v>Aug</v>
          </cell>
          <cell r="D15">
            <v>0</v>
          </cell>
          <cell r="E15">
            <v>40.1657379946151</v>
          </cell>
          <cell r="F15">
            <v>57.1705655938746</v>
          </cell>
          <cell r="G15">
            <v>0</v>
          </cell>
          <cell r="H15">
            <v>0</v>
          </cell>
          <cell r="I15">
            <v>2.9440855074587</v>
          </cell>
          <cell r="J15">
            <v>0</v>
          </cell>
        </row>
        <row r="15">
          <cell r="P15">
            <v>0</v>
          </cell>
          <cell r="Q15">
            <v>0</v>
          </cell>
        </row>
        <row r="15">
          <cell r="Z15">
            <v>46.019</v>
          </cell>
        </row>
        <row r="25">
          <cell r="D25" t="str">
            <v>FOS/TAC</v>
          </cell>
        </row>
        <row r="28">
          <cell r="E28">
            <v>0.309</v>
          </cell>
        </row>
        <row r="29">
          <cell r="E29">
            <v>0.243</v>
          </cell>
        </row>
        <row r="30">
          <cell r="E30">
            <v>0.25</v>
          </cell>
        </row>
        <row r="31">
          <cell r="E31">
            <v>0.434</v>
          </cell>
        </row>
        <row r="32">
          <cell r="E32">
            <v>0.26</v>
          </cell>
        </row>
        <row r="33">
          <cell r="E33">
            <v>0.281</v>
          </cell>
        </row>
        <row r="34">
          <cell r="E34">
            <v>0.266</v>
          </cell>
        </row>
        <row r="35">
          <cell r="E35">
            <v>0.307</v>
          </cell>
        </row>
        <row r="36">
          <cell r="E36">
            <v>0.279</v>
          </cell>
        </row>
        <row r="37">
          <cell r="E37">
            <v>0.298</v>
          </cell>
        </row>
        <row r="38">
          <cell r="E38">
            <v>0.266</v>
          </cell>
        </row>
        <row r="39">
          <cell r="E39">
            <v>0.269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106.48049072077</v>
          </cell>
          <cell r="I49">
            <v>78.9555245622196</v>
          </cell>
        </row>
        <row r="50">
          <cell r="C50" t="str">
            <v>Okt</v>
          </cell>
        </row>
        <row r="50">
          <cell r="H50">
            <v>99.4169834710751</v>
          </cell>
          <cell r="I50">
            <v>75.2088301015276</v>
          </cell>
        </row>
        <row r="51">
          <cell r="C51" t="str">
            <v>Nov</v>
          </cell>
        </row>
        <row r="51">
          <cell r="H51">
            <v>107.362258953168</v>
          </cell>
          <cell r="I51">
            <v>79.0330079033008</v>
          </cell>
        </row>
        <row r="52">
          <cell r="C52" t="str">
            <v>Dez</v>
          </cell>
        </row>
        <row r="52">
          <cell r="H52">
            <v>106.917355371901</v>
          </cell>
          <cell r="I52">
            <v>80.588923381473</v>
          </cell>
        </row>
        <row r="53">
          <cell r="C53" t="str">
            <v>Jan</v>
          </cell>
        </row>
        <row r="53">
          <cell r="H53">
            <v>106.308539944904</v>
          </cell>
          <cell r="I53">
            <v>85.3878916033053</v>
          </cell>
        </row>
        <row r="54">
          <cell r="C54" t="str">
            <v>Feb</v>
          </cell>
        </row>
        <row r="54">
          <cell r="H54">
            <v>102.386363636363</v>
          </cell>
          <cell r="I54">
            <v>80.0292222886362</v>
          </cell>
        </row>
        <row r="55">
          <cell r="C55" t="str">
            <v>Mrz</v>
          </cell>
        </row>
        <row r="55">
          <cell r="H55">
            <v>106.472451790634</v>
          </cell>
          <cell r="I55">
            <v>69.2101198242379</v>
          </cell>
        </row>
        <row r="56">
          <cell r="C56" t="str">
            <v>Apr</v>
          </cell>
        </row>
        <row r="56">
          <cell r="H56">
            <v>106.331955922864</v>
          </cell>
          <cell r="I56">
            <v>68.5340151867349</v>
          </cell>
        </row>
        <row r="57">
          <cell r="C57" t="str">
            <v>Mai</v>
          </cell>
        </row>
        <row r="57">
          <cell r="H57">
            <v>105.91046831956</v>
          </cell>
          <cell r="I57">
            <v>69.0788980369221</v>
          </cell>
        </row>
        <row r="58">
          <cell r="C58" t="str">
            <v>Jun</v>
          </cell>
        </row>
        <row r="58">
          <cell r="H58">
            <v>99.2134986225902</v>
          </cell>
          <cell r="I58">
            <v>55.2882380288238</v>
          </cell>
        </row>
        <row r="59">
          <cell r="C59" t="str">
            <v>Jul</v>
          </cell>
        </row>
        <row r="59">
          <cell r="H59">
            <v>109.165289256198</v>
          </cell>
          <cell r="I59">
            <v>56.10481246532</v>
          </cell>
        </row>
        <row r="60">
          <cell r="C60" t="str">
            <v>Aug</v>
          </cell>
        </row>
        <row r="60">
          <cell r="H60">
            <v>102.646280991736</v>
          </cell>
          <cell r="I60">
            <v>55.0606619576791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BGA 47_Diagramme"/>
    </sheetNames>
    <sheetDataSet>
      <sheetData sheetId="0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Hafer Getreide und Getreidekorn</v>
          </cell>
          <cell r="H2" t="str">
            <v>Zuckerrüben</v>
          </cell>
          <cell r="I2" t="str">
            <v>Grassilage</v>
          </cell>
          <cell r="J2" t="str">
            <v>Grünroggensilage</v>
          </cell>
        </row>
        <row r="2">
          <cell r="P2" t="str">
            <v>Putenmist</v>
          </cell>
          <cell r="Q2" t="str">
            <v>Weizenkleie</v>
          </cell>
        </row>
        <row r="4">
          <cell r="C4" t="str">
            <v>Sep</v>
          </cell>
          <cell r="D4">
            <v>8.58466757684829</v>
          </cell>
          <cell r="E4">
            <v>33.056141657358</v>
          </cell>
          <cell r="F4">
            <v>0</v>
          </cell>
          <cell r="G4">
            <v>0</v>
          </cell>
          <cell r="H4">
            <v>0</v>
          </cell>
          <cell r="I4">
            <v>58.3591907657937</v>
          </cell>
          <cell r="J4">
            <v>0</v>
          </cell>
        </row>
        <row r="4">
          <cell r="P4">
            <v>0</v>
          </cell>
          <cell r="Q4">
            <v>0</v>
          </cell>
        </row>
        <row r="4">
          <cell r="Z4">
            <v>16.114</v>
          </cell>
        </row>
        <row r="5">
          <cell r="C5" t="str">
            <v>Okt</v>
          </cell>
          <cell r="D5">
            <v>8.14568097892984</v>
          </cell>
          <cell r="E5">
            <v>38.7191369198465</v>
          </cell>
          <cell r="F5">
            <v>0</v>
          </cell>
          <cell r="G5">
            <v>0</v>
          </cell>
          <cell r="H5">
            <v>0</v>
          </cell>
          <cell r="I5">
            <v>53.1351821012237</v>
          </cell>
          <cell r="J5">
            <v>0</v>
          </cell>
        </row>
        <row r="5">
          <cell r="P5">
            <v>0</v>
          </cell>
          <cell r="Q5">
            <v>0</v>
          </cell>
        </row>
        <row r="5">
          <cell r="Z5">
            <v>17.8206451612903</v>
          </cell>
        </row>
        <row r="6">
          <cell r="C6" t="str">
            <v>Nov</v>
          </cell>
          <cell r="D6">
            <v>2.88353544513857</v>
          </cell>
          <cell r="E6">
            <v>48.9912672129044</v>
          </cell>
          <cell r="F6">
            <v>0</v>
          </cell>
          <cell r="G6">
            <v>0</v>
          </cell>
          <cell r="H6">
            <v>0</v>
          </cell>
          <cell r="I6">
            <v>48.125197341957</v>
          </cell>
          <cell r="J6">
            <v>0</v>
          </cell>
        </row>
        <row r="6">
          <cell r="P6">
            <v>0</v>
          </cell>
          <cell r="Q6">
            <v>0</v>
          </cell>
        </row>
        <row r="6">
          <cell r="Z6">
            <v>23.1197666666667</v>
          </cell>
        </row>
        <row r="7">
          <cell r="C7" t="str">
            <v>Dez</v>
          </cell>
          <cell r="D7">
            <v>3.15963445459848</v>
          </cell>
          <cell r="E7">
            <v>54.199883336574</v>
          </cell>
          <cell r="F7">
            <v>0</v>
          </cell>
          <cell r="G7">
            <v>0</v>
          </cell>
          <cell r="H7">
            <v>0</v>
          </cell>
          <cell r="I7">
            <v>42.6404822088275</v>
          </cell>
          <cell r="J7">
            <v>0</v>
          </cell>
        </row>
        <row r="7">
          <cell r="P7">
            <v>0</v>
          </cell>
          <cell r="Q7">
            <v>0</v>
          </cell>
        </row>
        <row r="7">
          <cell r="Z7">
            <v>26.5445161290323</v>
          </cell>
        </row>
        <row r="8">
          <cell r="C8" t="str">
            <v>Jan</v>
          </cell>
          <cell r="D8">
            <v>4.32609586235149</v>
          </cell>
          <cell r="E8">
            <v>61.4666120442442</v>
          </cell>
          <cell r="F8">
            <v>0</v>
          </cell>
          <cell r="G8">
            <v>0</v>
          </cell>
          <cell r="H8">
            <v>0</v>
          </cell>
          <cell r="I8">
            <v>34.2072920934043</v>
          </cell>
          <cell r="J8">
            <v>0</v>
          </cell>
        </row>
        <row r="8">
          <cell r="P8">
            <v>0</v>
          </cell>
          <cell r="Q8">
            <v>0</v>
          </cell>
        </row>
        <row r="8">
          <cell r="Z8">
            <v>19.6854838709677</v>
          </cell>
        </row>
        <row r="9">
          <cell r="C9" t="str">
            <v>Feb</v>
          </cell>
          <cell r="D9">
            <v>4.37905062182519</v>
          </cell>
          <cell r="E9">
            <v>64.5121737607287</v>
          </cell>
          <cell r="F9">
            <v>0</v>
          </cell>
          <cell r="G9">
            <v>0</v>
          </cell>
          <cell r="H9">
            <v>0</v>
          </cell>
          <cell r="I9">
            <v>31.1087756174461</v>
          </cell>
          <cell r="J9">
            <v>0</v>
          </cell>
        </row>
        <row r="9">
          <cell r="P9">
            <v>0</v>
          </cell>
          <cell r="Q9">
            <v>0</v>
          </cell>
        </row>
        <row r="9">
          <cell r="Z9">
            <v>20.3892857142857</v>
          </cell>
        </row>
        <row r="10">
          <cell r="C10" t="str">
            <v>Mrz</v>
          </cell>
          <cell r="D10">
            <v>5.21135945929922</v>
          </cell>
          <cell r="E10">
            <v>48.2243433924231</v>
          </cell>
          <cell r="F10">
            <v>0</v>
          </cell>
          <cell r="G10">
            <v>0</v>
          </cell>
          <cell r="H10">
            <v>0</v>
          </cell>
          <cell r="I10">
            <v>46.5642971482777</v>
          </cell>
          <cell r="J10">
            <v>0</v>
          </cell>
        </row>
        <row r="10">
          <cell r="P10">
            <v>0</v>
          </cell>
          <cell r="Q10">
            <v>0</v>
          </cell>
        </row>
        <row r="10">
          <cell r="Z10">
            <v>27.2048387096774</v>
          </cell>
        </row>
        <row r="11">
          <cell r="C11" t="str">
            <v>Apr</v>
          </cell>
          <cell r="D11">
            <v>6.74534161490683</v>
          </cell>
          <cell r="E11">
            <v>49.2546583850932</v>
          </cell>
          <cell r="F11">
            <v>0</v>
          </cell>
          <cell r="G11">
            <v>0</v>
          </cell>
          <cell r="H11">
            <v>0</v>
          </cell>
          <cell r="I11">
            <v>44</v>
          </cell>
          <cell r="J11">
            <v>0</v>
          </cell>
        </row>
        <row r="11">
          <cell r="P11">
            <v>0</v>
          </cell>
          <cell r="Q11">
            <v>0</v>
          </cell>
        </row>
        <row r="11">
          <cell r="Z11">
            <v>26.8333333333333</v>
          </cell>
        </row>
        <row r="12">
          <cell r="C12" t="str">
            <v>Mai</v>
          </cell>
          <cell r="D12">
            <v>10.012782275245</v>
          </cell>
          <cell r="E12">
            <v>38.7871041045306</v>
          </cell>
          <cell r="F12">
            <v>0</v>
          </cell>
          <cell r="G12">
            <v>0</v>
          </cell>
          <cell r="H12">
            <v>0</v>
          </cell>
          <cell r="I12">
            <v>51.2001136202244</v>
          </cell>
          <cell r="J12">
            <v>0</v>
          </cell>
        </row>
        <row r="12">
          <cell r="P12">
            <v>0</v>
          </cell>
          <cell r="Q12">
            <v>0</v>
          </cell>
        </row>
        <row r="12">
          <cell r="Z12">
            <v>22.7129032258065</v>
          </cell>
        </row>
        <row r="13">
          <cell r="C13" t="str">
            <v>Jun</v>
          </cell>
          <cell r="D13">
            <v>9.21973706675772</v>
          </cell>
          <cell r="E13">
            <v>35.1886631381253</v>
          </cell>
          <cell r="F13">
            <v>0</v>
          </cell>
          <cell r="G13">
            <v>0</v>
          </cell>
          <cell r="H13">
            <v>0</v>
          </cell>
          <cell r="I13">
            <v>55.591599795117</v>
          </cell>
          <cell r="J13">
            <v>0</v>
          </cell>
        </row>
        <row r="13">
          <cell r="P13">
            <v>0</v>
          </cell>
          <cell r="Q13">
            <v>0</v>
          </cell>
        </row>
        <row r="13">
          <cell r="Z13">
            <v>19.5233333333333</v>
          </cell>
        </row>
        <row r="14">
          <cell r="C14" t="str">
            <v>Jul</v>
          </cell>
          <cell r="D14">
            <v>9.37950937950938</v>
          </cell>
          <cell r="E14">
            <v>34.9847683181017</v>
          </cell>
          <cell r="F14">
            <v>0</v>
          </cell>
          <cell r="G14">
            <v>0</v>
          </cell>
          <cell r="H14">
            <v>0</v>
          </cell>
          <cell r="I14">
            <v>55.635722302389</v>
          </cell>
          <cell r="J14">
            <v>0</v>
          </cell>
        </row>
        <row r="14">
          <cell r="P14">
            <v>0</v>
          </cell>
          <cell r="Q14">
            <v>0</v>
          </cell>
        </row>
        <row r="14">
          <cell r="Z14">
            <v>20.1193548387097</v>
          </cell>
        </row>
        <row r="15">
          <cell r="C15" t="str">
            <v>Aug</v>
          </cell>
          <cell r="D15">
            <v>7.85315243415802</v>
          </cell>
          <cell r="E15">
            <v>42.2505985634477</v>
          </cell>
          <cell r="F15">
            <v>0</v>
          </cell>
          <cell r="G15">
            <v>0</v>
          </cell>
          <cell r="H15">
            <v>0</v>
          </cell>
          <cell r="I15">
            <v>49.8962490023942</v>
          </cell>
          <cell r="J15">
            <v>0</v>
          </cell>
        </row>
        <row r="15">
          <cell r="P15">
            <v>0</v>
          </cell>
          <cell r="Q15">
            <v>0</v>
          </cell>
        </row>
        <row r="15">
          <cell r="Z15">
            <v>20.2096774193548</v>
          </cell>
        </row>
        <row r="25">
          <cell r="D25" t="str">
            <v>FOS/TAC</v>
          </cell>
        </row>
        <row r="28">
          <cell r="E28">
            <v>0</v>
          </cell>
        </row>
        <row r="29">
          <cell r="E29">
            <v>0.249</v>
          </cell>
        </row>
        <row r="30">
          <cell r="E30">
            <v>0.2335</v>
          </cell>
        </row>
        <row r="31">
          <cell r="E31">
            <v>0</v>
          </cell>
        </row>
        <row r="32">
          <cell r="E32">
            <v>0.141</v>
          </cell>
        </row>
        <row r="33">
          <cell r="E33">
            <v>0.2115</v>
          </cell>
        </row>
        <row r="34">
          <cell r="E34">
            <v>0.2265</v>
          </cell>
        </row>
        <row r="35">
          <cell r="E35">
            <v>0.231</v>
          </cell>
        </row>
        <row r="36">
          <cell r="E36">
            <v>0.2115</v>
          </cell>
        </row>
        <row r="37">
          <cell r="E37">
            <v>0.2585</v>
          </cell>
        </row>
        <row r="38">
          <cell r="E38">
            <v>0.238</v>
          </cell>
        </row>
        <row r="39">
          <cell r="E39">
            <v>0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83.7783859649123</v>
          </cell>
          <cell r="I49">
            <v>72.7828178185585</v>
          </cell>
        </row>
        <row r="50">
          <cell r="C50" t="str">
            <v>Okt</v>
          </cell>
        </row>
        <row r="50">
          <cell r="H50">
            <v>80.5943157894737</v>
          </cell>
          <cell r="I50">
            <v>72.2949256513634</v>
          </cell>
        </row>
        <row r="51">
          <cell r="C51" t="str">
            <v>Nov</v>
          </cell>
        </row>
        <row r="51">
          <cell r="H51">
            <v>87.507052631579</v>
          </cell>
          <cell r="I51">
            <v>71.7844171520544</v>
          </cell>
        </row>
        <row r="52">
          <cell r="C52" t="str">
            <v>Dez</v>
          </cell>
        </row>
        <row r="52">
          <cell r="H52">
            <v>100.613157894737</v>
          </cell>
          <cell r="I52">
            <v>94.5704015941137</v>
          </cell>
        </row>
        <row r="53">
          <cell r="C53" t="str">
            <v>Jan</v>
          </cell>
        </row>
        <row r="53">
          <cell r="H53">
            <v>98.2719298245614</v>
          </cell>
          <cell r="I53">
            <v>83.7884620886983</v>
          </cell>
        </row>
        <row r="54">
          <cell r="C54" t="str">
            <v>Feb</v>
          </cell>
        </row>
        <row r="54">
          <cell r="H54">
            <v>90.831298245614</v>
          </cell>
          <cell r="I54">
            <v>86.8206710644834</v>
          </cell>
        </row>
        <row r="55">
          <cell r="C55" t="str">
            <v>Mrz</v>
          </cell>
        </row>
        <row r="55">
          <cell r="H55">
            <v>99.8627719298246</v>
          </cell>
          <cell r="I55">
            <v>83.0385785111738</v>
          </cell>
        </row>
        <row r="56">
          <cell r="C56" t="str">
            <v>Apr</v>
          </cell>
        </row>
        <row r="56">
          <cell r="H56">
            <v>103.040280701754</v>
          </cell>
          <cell r="I56">
            <v>73.189267320662</v>
          </cell>
        </row>
        <row r="57">
          <cell r="C57" t="str">
            <v>Mai</v>
          </cell>
        </row>
        <row r="57">
          <cell r="H57">
            <v>96.942947368421</v>
          </cell>
          <cell r="I57">
            <v>73.1550026824036</v>
          </cell>
        </row>
        <row r="58">
          <cell r="C58" t="str">
            <v>Jun</v>
          </cell>
        </row>
        <row r="58">
          <cell r="H58">
            <v>88.034350877193</v>
          </cell>
          <cell r="I58">
            <v>50.540341431637</v>
          </cell>
        </row>
        <row r="59">
          <cell r="C59" t="str">
            <v>Jul</v>
          </cell>
        </row>
        <row r="59">
          <cell r="H59">
            <v>78.5805614035088</v>
          </cell>
          <cell r="I59">
            <v>46.9743849527427</v>
          </cell>
        </row>
        <row r="60">
          <cell r="C60" t="str">
            <v>Aug</v>
          </cell>
        </row>
        <row r="60">
          <cell r="H60">
            <v>76.7922807017544</v>
          </cell>
          <cell r="I60">
            <v>46.9743849527427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BGA 48_Diagramme"/>
    </sheetNames>
    <sheetDataSet>
      <sheetData sheetId="0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Hafer Getreide und Getreidekorn</v>
          </cell>
          <cell r="H2" t="str">
            <v>Zuckerrüben</v>
          </cell>
          <cell r="I2" t="str">
            <v>Grassilage</v>
          </cell>
          <cell r="J2" t="str">
            <v>Grünroggensilage</v>
          </cell>
        </row>
        <row r="2">
          <cell r="P2" t="str">
            <v>Hühnertrockenkot</v>
          </cell>
          <cell r="Q2" t="str">
            <v>Weizenkleie</v>
          </cell>
        </row>
        <row r="4">
          <cell r="C4" t="str">
            <v>Sep</v>
          </cell>
          <cell r="D4">
            <v>1.08384497191566</v>
          </cell>
          <cell r="E4">
            <v>71.649687394767</v>
          </cell>
          <cell r="F4">
            <v>1.75806030003379</v>
          </cell>
          <cell r="G4">
            <v>0</v>
          </cell>
          <cell r="H4">
            <v>0</v>
          </cell>
          <cell r="I4">
            <v>15.3405504657346</v>
          </cell>
          <cell r="J4">
            <v>0</v>
          </cell>
        </row>
        <row r="4">
          <cell r="P4">
            <v>10.1678568675489</v>
          </cell>
          <cell r="Q4">
            <v>0</v>
          </cell>
        </row>
        <row r="4">
          <cell r="Z4">
            <v>11.50226</v>
          </cell>
        </row>
        <row r="5">
          <cell r="C5" t="str">
            <v>Okt</v>
          </cell>
          <cell r="D5">
            <v>5.18303375712407</v>
          </cell>
          <cell r="E5">
            <v>63.2617273125822</v>
          </cell>
          <cell r="F5">
            <v>5.04110039456379</v>
          </cell>
          <cell r="G5">
            <v>0</v>
          </cell>
          <cell r="H5">
            <v>0</v>
          </cell>
          <cell r="I5">
            <v>19.2966352476984</v>
          </cell>
          <cell r="J5">
            <v>0</v>
          </cell>
        </row>
        <row r="5">
          <cell r="P5">
            <v>7.21750328803157</v>
          </cell>
          <cell r="Q5">
            <v>0</v>
          </cell>
        </row>
        <row r="5">
          <cell r="Z5">
            <v>11.7729032258064</v>
          </cell>
        </row>
        <row r="6">
          <cell r="C6" t="str">
            <v>Nov</v>
          </cell>
          <cell r="D6">
            <v>6.09104662221762</v>
          </cell>
          <cell r="E6">
            <v>65.2420304638568</v>
          </cell>
          <cell r="F6">
            <v>3.97331086241986</v>
          </cell>
          <cell r="G6">
            <v>0</v>
          </cell>
          <cell r="H6">
            <v>0</v>
          </cell>
          <cell r="I6">
            <v>14.4976814550902</v>
          </cell>
          <cell r="J6">
            <v>0</v>
          </cell>
        </row>
        <row r="6">
          <cell r="P6">
            <v>10.1959305964155</v>
          </cell>
          <cell r="Q6">
            <v>0</v>
          </cell>
        </row>
        <row r="6">
          <cell r="Z6">
            <v>13.5286</v>
          </cell>
        </row>
        <row r="7">
          <cell r="C7" t="str">
            <v>Dez</v>
          </cell>
          <cell r="D7">
            <v>6.46976900039791</v>
          </cell>
          <cell r="E7">
            <v>65.2029361871453</v>
          </cell>
          <cell r="F7">
            <v>4.81423694737063</v>
          </cell>
          <cell r="G7">
            <v>0</v>
          </cell>
          <cell r="H7">
            <v>0</v>
          </cell>
          <cell r="I7">
            <v>13.0547236591342</v>
          </cell>
          <cell r="J7">
            <v>0</v>
          </cell>
        </row>
        <row r="7">
          <cell r="P7">
            <v>10.458334205952</v>
          </cell>
          <cell r="Q7">
            <v>0</v>
          </cell>
        </row>
        <row r="7">
          <cell r="Z7">
            <v>12.3223225806452</v>
          </cell>
        </row>
        <row r="8">
          <cell r="C8" t="str">
            <v>Jan</v>
          </cell>
          <cell r="D8">
            <v>5.70143385039783</v>
          </cell>
          <cell r="E8">
            <v>65.7867649329395</v>
          </cell>
          <cell r="F8">
            <v>4.02594929542671</v>
          </cell>
          <cell r="G8">
            <v>0</v>
          </cell>
          <cell r="H8">
            <v>0</v>
          </cell>
          <cell r="I8">
            <v>12.2729050653107</v>
          </cell>
          <cell r="J8">
            <v>0</v>
          </cell>
        </row>
        <row r="8">
          <cell r="P8">
            <v>12.2129468559253</v>
          </cell>
          <cell r="Q8">
            <v>0</v>
          </cell>
        </row>
        <row r="8">
          <cell r="Z8">
            <v>12.5356129032258</v>
          </cell>
        </row>
        <row r="9">
          <cell r="C9" t="str">
            <v>Feb</v>
          </cell>
          <cell r="D9">
            <v>7.31198185304204</v>
          </cell>
          <cell r="E9">
            <v>67.2625637978991</v>
          </cell>
          <cell r="F9">
            <v>6.20561151467689</v>
          </cell>
          <cell r="G9">
            <v>0</v>
          </cell>
          <cell r="H9">
            <v>0</v>
          </cell>
          <cell r="I9">
            <v>10.6864518916583</v>
          </cell>
          <cell r="J9">
            <v>0</v>
          </cell>
        </row>
        <row r="9">
          <cell r="P9">
            <v>8.53339094272366</v>
          </cell>
          <cell r="Q9">
            <v>0</v>
          </cell>
        </row>
        <row r="9">
          <cell r="Z9">
            <v>13.2253571428571</v>
          </cell>
        </row>
        <row r="10">
          <cell r="C10" t="str">
            <v>Mrz</v>
          </cell>
          <cell r="D10">
            <v>10.972797439759</v>
          </cell>
          <cell r="E10">
            <v>61.1139871987952</v>
          </cell>
          <cell r="F10">
            <v>5.36050451807229</v>
          </cell>
          <cell r="G10">
            <v>0</v>
          </cell>
          <cell r="H10">
            <v>0</v>
          </cell>
          <cell r="I10">
            <v>15.4791039156627</v>
          </cell>
          <cell r="J10">
            <v>0</v>
          </cell>
        </row>
        <row r="10">
          <cell r="P10">
            <v>7.07360692771084</v>
          </cell>
          <cell r="Q10">
            <v>0</v>
          </cell>
        </row>
        <row r="10">
          <cell r="Z10">
            <v>13.7083870967742</v>
          </cell>
        </row>
        <row r="11">
          <cell r="C11" t="str">
            <v>Apr</v>
          </cell>
          <cell r="D11">
            <v>11.848050964752</v>
          </cell>
          <cell r="E11">
            <v>65.1864640550929</v>
          </cell>
          <cell r="F11">
            <v>6.05109978346732</v>
          </cell>
          <cell r="G11">
            <v>0</v>
          </cell>
          <cell r="H11">
            <v>0</v>
          </cell>
          <cell r="I11">
            <v>9.09702496636269</v>
          </cell>
          <cell r="J11">
            <v>0</v>
          </cell>
        </row>
        <row r="11">
          <cell r="P11">
            <v>7.81736023032518</v>
          </cell>
          <cell r="Q11">
            <v>0</v>
          </cell>
        </row>
        <row r="11">
          <cell r="Z11">
            <v>13.8239333333333</v>
          </cell>
        </row>
        <row r="12">
          <cell r="C12" t="str">
            <v>Mai</v>
          </cell>
          <cell r="D12">
            <v>4.07171922685656</v>
          </cell>
          <cell r="E12">
            <v>65.9003051881994</v>
          </cell>
          <cell r="F12">
            <v>5.53458799593082</v>
          </cell>
          <cell r="G12">
            <v>0</v>
          </cell>
          <cell r="H12">
            <v>0</v>
          </cell>
          <cell r="I12">
            <v>14.8774160732452</v>
          </cell>
          <cell r="J12">
            <v>0</v>
          </cell>
        </row>
        <row r="12">
          <cell r="P12">
            <v>9.61597151576805</v>
          </cell>
          <cell r="Q12">
            <v>0</v>
          </cell>
        </row>
        <row r="12">
          <cell r="Z12">
            <v>12.6838709677419</v>
          </cell>
        </row>
        <row r="13">
          <cell r="C13" t="str">
            <v>Jun</v>
          </cell>
          <cell r="D13">
            <v>2.46316149812501</v>
          </cell>
          <cell r="E13">
            <v>77.638601459536</v>
          </cell>
          <cell r="F13">
            <v>3.71730437082795</v>
          </cell>
          <cell r="G13">
            <v>0</v>
          </cell>
          <cell r="H13">
            <v>0</v>
          </cell>
          <cell r="I13">
            <v>9.47453592045684</v>
          </cell>
          <cell r="J13">
            <v>0</v>
          </cell>
        </row>
        <row r="13">
          <cell r="P13">
            <v>6.70639675105419</v>
          </cell>
          <cell r="Q13">
            <v>0</v>
          </cell>
        </row>
        <row r="13">
          <cell r="Z13">
            <v>10.7111666666667</v>
          </cell>
        </row>
        <row r="14">
          <cell r="C14" t="str">
            <v>Jul</v>
          </cell>
          <cell r="D14">
            <v>4.03080398844308</v>
          </cell>
          <cell r="E14">
            <v>67.4135945951817</v>
          </cell>
          <cell r="F14">
            <v>3.37936914821976</v>
          </cell>
          <cell r="G14">
            <v>0</v>
          </cell>
          <cell r="H14">
            <v>0</v>
          </cell>
          <cell r="I14">
            <v>15.7101970325636</v>
          </cell>
          <cell r="J14">
            <v>0</v>
          </cell>
        </row>
        <row r="14">
          <cell r="P14">
            <v>9.46603523559186</v>
          </cell>
          <cell r="Q14">
            <v>0</v>
          </cell>
        </row>
        <row r="14">
          <cell r="Z14">
            <v>11.8794838709677</v>
          </cell>
        </row>
        <row r="15">
          <cell r="C15" t="str">
            <v>Aug</v>
          </cell>
          <cell r="D15">
            <v>4.62404627122816</v>
          </cell>
          <cell r="E15">
            <v>71.6611102409773</v>
          </cell>
          <cell r="F15">
            <v>6.67274517262211</v>
          </cell>
          <cell r="G15">
            <v>0</v>
          </cell>
          <cell r="H15">
            <v>0</v>
          </cell>
          <cell r="I15">
            <v>7.42370169825252</v>
          </cell>
          <cell r="J15">
            <v>0</v>
          </cell>
        </row>
        <row r="15">
          <cell r="P15">
            <v>9.61839661691988</v>
          </cell>
          <cell r="Q15">
            <v>0</v>
          </cell>
        </row>
        <row r="15">
          <cell r="Z15">
            <v>11.5336774193548</v>
          </cell>
        </row>
        <row r="25">
          <cell r="D25" t="str">
            <v>FOS/TAC</v>
          </cell>
        </row>
        <row r="28">
          <cell r="E28">
            <v>0.3105</v>
          </cell>
        </row>
        <row r="29">
          <cell r="E29">
            <v>0.2355</v>
          </cell>
        </row>
        <row r="30">
          <cell r="E30">
            <v>0.2675</v>
          </cell>
        </row>
        <row r="31">
          <cell r="E31">
            <v>0.169</v>
          </cell>
        </row>
        <row r="32">
          <cell r="E32">
            <v>0.218</v>
          </cell>
        </row>
        <row r="33">
          <cell r="E33">
            <v>0.1985</v>
          </cell>
        </row>
        <row r="34">
          <cell r="E34">
            <v>0.241</v>
          </cell>
        </row>
        <row r="35">
          <cell r="E35">
            <v>0.264</v>
          </cell>
        </row>
        <row r="36">
          <cell r="E36">
            <v>0.1855</v>
          </cell>
        </row>
        <row r="37">
          <cell r="E37">
            <v>0.2125</v>
          </cell>
        </row>
        <row r="38">
          <cell r="E38">
            <v>0.2125</v>
          </cell>
        </row>
        <row r="39">
          <cell r="E39">
            <v>0.2325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110.226276803119</v>
          </cell>
          <cell r="I49" t="e">
            <v>#DIV/0!</v>
          </cell>
        </row>
        <row r="50">
          <cell r="C50" t="str">
            <v>Okt</v>
          </cell>
        </row>
        <row r="50">
          <cell r="H50">
            <v>107.326003898636</v>
          </cell>
          <cell r="I50" t="e">
            <v>#DIV/0!</v>
          </cell>
        </row>
        <row r="51">
          <cell r="C51" t="str">
            <v>Nov</v>
          </cell>
        </row>
        <row r="51">
          <cell r="H51">
            <v>106.934970760234</v>
          </cell>
          <cell r="I51" t="e">
            <v>#DIV/0!</v>
          </cell>
        </row>
        <row r="52">
          <cell r="C52" t="str">
            <v>Dez</v>
          </cell>
        </row>
        <row r="52">
          <cell r="H52">
            <v>107.233216374269</v>
          </cell>
          <cell r="I52" t="e">
            <v>#DIV/0!</v>
          </cell>
        </row>
        <row r="53">
          <cell r="C53" t="str">
            <v>Jan</v>
          </cell>
        </row>
        <row r="53">
          <cell r="H53">
            <v>107.10298245614</v>
          </cell>
          <cell r="I53" t="e">
            <v>#DIV/0!</v>
          </cell>
        </row>
        <row r="54">
          <cell r="C54" t="str">
            <v>Feb</v>
          </cell>
        </row>
        <row r="54">
          <cell r="H54">
            <v>109.93730994152</v>
          </cell>
          <cell r="I54" t="e">
            <v>#DIV/0!</v>
          </cell>
        </row>
        <row r="55">
          <cell r="C55" t="str">
            <v>Mrz</v>
          </cell>
        </row>
        <row r="55">
          <cell r="H55">
            <v>107.111929824561</v>
          </cell>
          <cell r="I55" t="e">
            <v>#DIV/0!</v>
          </cell>
        </row>
        <row r="56">
          <cell r="C56" t="str">
            <v>Apr</v>
          </cell>
        </row>
        <row r="56">
          <cell r="H56">
            <v>106.87432748538</v>
          </cell>
          <cell r="I56" t="e">
            <v>#DIV/0!</v>
          </cell>
        </row>
        <row r="57">
          <cell r="C57" t="str">
            <v>Mai</v>
          </cell>
        </row>
        <row r="57">
          <cell r="H57">
            <v>105.095789473684</v>
          </cell>
          <cell r="I57" t="e">
            <v>#DIV/0!</v>
          </cell>
        </row>
        <row r="58">
          <cell r="C58" t="str">
            <v>Jun</v>
          </cell>
        </row>
        <row r="58">
          <cell r="H58">
            <v>107.151695906433</v>
          </cell>
          <cell r="I58" t="e">
            <v>#DIV/0!</v>
          </cell>
        </row>
        <row r="59">
          <cell r="C59" t="str">
            <v>Jul</v>
          </cell>
        </row>
        <row r="59">
          <cell r="H59">
            <v>107.139766081871</v>
          </cell>
          <cell r="I59" t="e">
            <v>#DIV/0!</v>
          </cell>
        </row>
        <row r="60">
          <cell r="C60" t="str">
            <v>Aug</v>
          </cell>
        </row>
        <row r="60">
          <cell r="H60">
            <v>106.867368421053</v>
          </cell>
          <cell r="I60" t="e">
            <v>#DIV/0!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BGA 49_Diagramme"/>
    </sheetNames>
    <sheetDataSet>
      <sheetData sheetId="0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Hafer Getreide und Getreidekorn</v>
          </cell>
          <cell r="H2" t="str">
            <v>Sonstiges</v>
          </cell>
          <cell r="I2" t="str">
            <v>Grassilage</v>
          </cell>
          <cell r="J2" t="str">
            <v>Grünroggensilage</v>
          </cell>
        </row>
        <row r="2">
          <cell r="P2" t="str">
            <v>Pferdemist</v>
          </cell>
          <cell r="Q2" t="str">
            <v>Weizenkleie</v>
          </cell>
        </row>
        <row r="4">
          <cell r="C4" t="str">
            <v>Sep</v>
          </cell>
          <cell r="D4">
            <v>2.58993042196575</v>
          </cell>
          <cell r="E4">
            <v>68.891065621216</v>
          </cell>
          <cell r="F4">
            <v>1.48846575975043</v>
          </cell>
          <cell r="G4">
            <v>0</v>
          </cell>
          <cell r="H4">
            <v>0</v>
          </cell>
          <cell r="I4">
            <v>8.95064076863261</v>
          </cell>
          <cell r="J4">
            <v>0</v>
          </cell>
        </row>
        <row r="4">
          <cell r="P4">
            <v>18.0798974284353</v>
          </cell>
          <cell r="Q4">
            <v>0</v>
          </cell>
        </row>
        <row r="4">
          <cell r="Z4">
            <v>16.795818</v>
          </cell>
        </row>
        <row r="5">
          <cell r="C5" t="str">
            <v>Okt</v>
          </cell>
          <cell r="D5">
            <v>1.22623380068509</v>
          </cell>
          <cell r="E5">
            <v>70.7543238536605</v>
          </cell>
          <cell r="F5">
            <v>1.73716455097055</v>
          </cell>
          <cell r="G5">
            <v>0</v>
          </cell>
          <cell r="H5">
            <v>0</v>
          </cell>
          <cell r="I5">
            <v>10.0551171656178</v>
          </cell>
          <cell r="J5">
            <v>0</v>
          </cell>
        </row>
        <row r="5">
          <cell r="P5">
            <v>16.2271606290661</v>
          </cell>
          <cell r="Q5">
            <v>0</v>
          </cell>
        </row>
        <row r="5">
          <cell r="Z5">
            <v>15.783970967742</v>
          </cell>
        </row>
        <row r="6">
          <cell r="C6" t="str">
            <v>Nov</v>
          </cell>
          <cell r="D6">
            <v>3.17805435426363</v>
          </cell>
          <cell r="E6">
            <v>77.8444210731336</v>
          </cell>
          <cell r="F6">
            <v>0.794513588565907</v>
          </cell>
          <cell r="G6">
            <v>0</v>
          </cell>
          <cell r="H6">
            <v>0</v>
          </cell>
          <cell r="I6">
            <v>7.78623316794589</v>
          </cell>
          <cell r="J6">
            <v>0</v>
          </cell>
        </row>
        <row r="6">
          <cell r="P6">
            <v>10.396777816091</v>
          </cell>
          <cell r="Q6">
            <v>0</v>
          </cell>
        </row>
        <row r="6">
          <cell r="Z6">
            <v>14.6840366666666</v>
          </cell>
        </row>
        <row r="7">
          <cell r="C7" t="str">
            <v>Dez</v>
          </cell>
          <cell r="D7">
            <v>1.85936339238766</v>
          </cell>
          <cell r="E7">
            <v>68.9425015777006</v>
          </cell>
          <cell r="F7">
            <v>0.306488471272692</v>
          </cell>
          <cell r="G7">
            <v>0</v>
          </cell>
          <cell r="H7">
            <v>0.715139766302947</v>
          </cell>
          <cell r="I7">
            <v>5.04684349362366</v>
          </cell>
          <cell r="J7">
            <v>0</v>
          </cell>
        </row>
        <row r="7">
          <cell r="P7">
            <v>23.1296632987125</v>
          </cell>
          <cell r="Q7">
            <v>0</v>
          </cell>
        </row>
        <row r="7">
          <cell r="Z7">
            <v>15.7875748387097</v>
          </cell>
        </row>
        <row r="8">
          <cell r="C8" t="str">
            <v>Jan</v>
          </cell>
          <cell r="D8">
            <v>1.23739947676001</v>
          </cell>
          <cell r="E8">
            <v>62.3530583434228</v>
          </cell>
          <cell r="F8">
            <v>0.356221061491517</v>
          </cell>
          <cell r="G8">
            <v>0</v>
          </cell>
          <cell r="H8">
            <v>0.974920799871521</v>
          </cell>
          <cell r="I8">
            <v>5.26832201469033</v>
          </cell>
          <cell r="J8">
            <v>0</v>
          </cell>
        </row>
        <row r="8">
          <cell r="P8">
            <v>29.8100783037638</v>
          </cell>
          <cell r="Q8">
            <v>0</v>
          </cell>
        </row>
        <row r="8">
          <cell r="Z8">
            <v>17.2056987096774</v>
          </cell>
        </row>
        <row r="9">
          <cell r="C9" t="str">
            <v>Feb</v>
          </cell>
          <cell r="D9">
            <v>1.47573304579495</v>
          </cell>
          <cell r="E9">
            <v>62.1417714790297</v>
          </cell>
          <cell r="F9">
            <v>0.681107559597667</v>
          </cell>
          <cell r="G9">
            <v>0</v>
          </cell>
          <cell r="H9">
            <v>0.378393088665371</v>
          </cell>
          <cell r="I9">
            <v>8.51384449497084</v>
          </cell>
          <cell r="J9">
            <v>0</v>
          </cell>
        </row>
        <row r="9">
          <cell r="P9">
            <v>26.8091503319415</v>
          </cell>
          <cell r="Q9">
            <v>0</v>
          </cell>
        </row>
        <row r="9">
          <cell r="Z9">
            <v>18.8768171428572</v>
          </cell>
        </row>
        <row r="10">
          <cell r="C10" t="str">
            <v>Mrz</v>
          </cell>
          <cell r="D10">
            <v>1.53325950117621</v>
          </cell>
          <cell r="E10">
            <v>58.2412265267892</v>
          </cell>
          <cell r="F10">
            <v>0.468997023889193</v>
          </cell>
          <cell r="G10">
            <v>0</v>
          </cell>
          <cell r="H10">
            <v>0.721533882906451</v>
          </cell>
          <cell r="I10">
            <v>8.17137122391556</v>
          </cell>
          <cell r="J10">
            <v>0</v>
          </cell>
        </row>
        <row r="10">
          <cell r="P10">
            <v>30.8636118413234</v>
          </cell>
          <cell r="Q10">
            <v>0</v>
          </cell>
        </row>
        <row r="10">
          <cell r="Z10">
            <v>17.8830490322581</v>
          </cell>
        </row>
        <row r="11">
          <cell r="C11" t="str">
            <v>Apr</v>
          </cell>
          <cell r="D11">
            <v>1.39904986169234</v>
          </cell>
          <cell r="E11">
            <v>60.7432167947653</v>
          </cell>
          <cell r="F11">
            <v>0.481792005351004</v>
          </cell>
          <cell r="G11">
            <v>0</v>
          </cell>
          <cell r="H11">
            <v>0.463261543606735</v>
          </cell>
          <cell r="I11">
            <v>8.02368993526865</v>
          </cell>
          <cell r="J11">
            <v>0</v>
          </cell>
        </row>
        <row r="11">
          <cell r="P11">
            <v>28.888989859316</v>
          </cell>
          <cell r="Q11">
            <v>0</v>
          </cell>
        </row>
        <row r="11">
          <cell r="Z11">
            <v>17.9883986666667</v>
          </cell>
        </row>
        <row r="12">
          <cell r="C12" t="str">
            <v>Mai</v>
          </cell>
          <cell r="D12">
            <v>1.43628584294409</v>
          </cell>
          <cell r="E12">
            <v>62.2735585253352</v>
          </cell>
          <cell r="F12">
            <v>0.651116248801322</v>
          </cell>
          <cell r="G12">
            <v>0</v>
          </cell>
          <cell r="H12">
            <v>0.574514337177637</v>
          </cell>
          <cell r="I12">
            <v>8.1198026321106</v>
          </cell>
          <cell r="J12">
            <v>0</v>
          </cell>
        </row>
        <row r="12">
          <cell r="P12">
            <v>26.9447224136312</v>
          </cell>
          <cell r="Q12">
            <v>0</v>
          </cell>
        </row>
        <row r="12">
          <cell r="Z12">
            <v>16.8445219354839</v>
          </cell>
        </row>
        <row r="13">
          <cell r="C13" t="str">
            <v>Jun</v>
          </cell>
          <cell r="D13">
            <v>1.53134209648429</v>
          </cell>
          <cell r="E13">
            <v>64.38647996125</v>
          </cell>
          <cell r="F13">
            <v>0.510447365494763</v>
          </cell>
          <cell r="G13">
            <v>0</v>
          </cell>
          <cell r="H13">
            <v>0.588977729417035</v>
          </cell>
          <cell r="I13">
            <v>5.28116697377274</v>
          </cell>
          <cell r="J13">
            <v>0</v>
          </cell>
        </row>
        <row r="13">
          <cell r="P13">
            <v>27.7015858735812</v>
          </cell>
          <cell r="Q13">
            <v>0</v>
          </cell>
        </row>
        <row r="13">
          <cell r="Z13">
            <v>16.9785706666667</v>
          </cell>
        </row>
        <row r="14">
          <cell r="C14" t="str">
            <v>Jul</v>
          </cell>
          <cell r="D14">
            <v>1.50490150089332</v>
          </cell>
          <cell r="E14">
            <v>60.4137495435744</v>
          </cell>
          <cell r="F14">
            <v>0.495516347855118</v>
          </cell>
          <cell r="G14">
            <v>0</v>
          </cell>
          <cell r="H14">
            <v>0.367049146559347</v>
          </cell>
          <cell r="I14">
            <v>9.02940900535993</v>
          </cell>
          <cell r="J14">
            <v>0</v>
          </cell>
        </row>
        <row r="14">
          <cell r="P14">
            <v>28.1893744557578</v>
          </cell>
          <cell r="Q14">
            <v>0</v>
          </cell>
        </row>
        <row r="14">
          <cell r="Z14">
            <v>17.5769729032258</v>
          </cell>
        </row>
        <row r="15">
          <cell r="C15" t="str">
            <v>Aug</v>
          </cell>
          <cell r="D15">
            <v>1.42976663441236</v>
          </cell>
          <cell r="E15">
            <v>60.8428428188355</v>
          </cell>
          <cell r="F15">
            <v>0.479663645093181</v>
          </cell>
          <cell r="G15">
            <v>0</v>
          </cell>
          <cell r="H15">
            <v>0.461215043358827</v>
          </cell>
          <cell r="I15">
            <v>8.44945959433372</v>
          </cell>
          <cell r="J15">
            <v>0</v>
          </cell>
        </row>
        <row r="15">
          <cell r="P15">
            <v>28.3370522639664</v>
          </cell>
          <cell r="Q15">
            <v>0</v>
          </cell>
        </row>
        <row r="15">
          <cell r="Z15">
            <v>17.4853709677419</v>
          </cell>
        </row>
        <row r="25">
          <cell r="D25" t="str">
            <v>FOS/TAC</v>
          </cell>
        </row>
        <row r="28">
          <cell r="E28">
            <v>0.224</v>
          </cell>
        </row>
        <row r="29">
          <cell r="E29">
            <v>0.1995</v>
          </cell>
        </row>
        <row r="30">
          <cell r="E30">
            <v>0.19</v>
          </cell>
        </row>
        <row r="31">
          <cell r="E31">
            <v>0.2165</v>
          </cell>
        </row>
        <row r="32">
          <cell r="E32">
            <v>0.1945</v>
          </cell>
        </row>
        <row r="33">
          <cell r="E33">
            <v>0.2195</v>
          </cell>
        </row>
        <row r="34">
          <cell r="E34">
            <v>0.1195</v>
          </cell>
        </row>
        <row r="35">
          <cell r="E35">
            <v>0.2155</v>
          </cell>
        </row>
        <row r="36">
          <cell r="E36">
            <v>0.1675</v>
          </cell>
        </row>
        <row r="37">
          <cell r="E37">
            <v>0.183</v>
          </cell>
        </row>
        <row r="38">
          <cell r="E38">
            <v>0.1985</v>
          </cell>
        </row>
        <row r="39">
          <cell r="E39">
            <v>0.2035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96.0350877192982</v>
          </cell>
          <cell r="I49">
            <v>0</v>
          </cell>
        </row>
        <row r="50">
          <cell r="C50" t="str">
            <v>Okt</v>
          </cell>
        </row>
        <row r="50">
          <cell r="H50">
            <v>111.476513865308</v>
          </cell>
          <cell r="I50">
            <v>0</v>
          </cell>
        </row>
        <row r="51">
          <cell r="C51" t="str">
            <v>Nov</v>
          </cell>
        </row>
        <row r="51">
          <cell r="H51">
            <v>85.8490058479532</v>
          </cell>
          <cell r="I51">
            <v>0</v>
          </cell>
        </row>
        <row r="52">
          <cell r="C52" t="str">
            <v>Dez</v>
          </cell>
        </row>
        <row r="52">
          <cell r="H52">
            <v>104.097340124505</v>
          </cell>
          <cell r="I52">
            <v>0</v>
          </cell>
        </row>
        <row r="53">
          <cell r="C53" t="str">
            <v>Jan</v>
          </cell>
        </row>
        <row r="53">
          <cell r="H53">
            <v>105.80792303339</v>
          </cell>
          <cell r="I53">
            <v>0</v>
          </cell>
        </row>
        <row r="54">
          <cell r="C54" t="str">
            <v>Feb</v>
          </cell>
        </row>
        <row r="54">
          <cell r="H54">
            <v>105.919799498747</v>
          </cell>
          <cell r="I54">
            <v>0</v>
          </cell>
        </row>
        <row r="55">
          <cell r="C55" t="str">
            <v>Mrz</v>
          </cell>
        </row>
        <row r="55">
          <cell r="H55">
            <v>104.528353140917</v>
          </cell>
          <cell r="I55">
            <v>0</v>
          </cell>
        </row>
        <row r="56">
          <cell r="C56" t="str">
            <v>Apr</v>
          </cell>
        </row>
        <row r="56">
          <cell r="H56">
            <v>105.286666666667</v>
          </cell>
          <cell r="I56">
            <v>0</v>
          </cell>
        </row>
        <row r="57">
          <cell r="C57" t="str">
            <v>Mai</v>
          </cell>
        </row>
        <row r="57">
          <cell r="H57">
            <v>104.41675155631</v>
          </cell>
          <cell r="I57">
            <v>0</v>
          </cell>
        </row>
        <row r="58">
          <cell r="C58" t="str">
            <v>Jun</v>
          </cell>
        </row>
        <row r="58">
          <cell r="H58">
            <v>98.8584795321637</v>
          </cell>
          <cell r="I58">
            <v>0</v>
          </cell>
        </row>
        <row r="59">
          <cell r="C59" t="str">
            <v>Jul</v>
          </cell>
        </row>
        <row r="59">
          <cell r="H59">
            <v>101.095642331636</v>
          </cell>
          <cell r="I59">
            <v>0</v>
          </cell>
        </row>
        <row r="60">
          <cell r="C60" t="str">
            <v>Aug</v>
          </cell>
        </row>
        <row r="60">
          <cell r="H60">
            <v>106.059988681381</v>
          </cell>
          <cell r="I60">
            <v>0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BGA 50_Diagramme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Hafer Getreide und Getreidekorn</v>
          </cell>
          <cell r="H2" t="str">
            <v>Zuckerrüben</v>
          </cell>
          <cell r="I2" t="str">
            <v>Grassilage</v>
          </cell>
          <cell r="J2" t="str">
            <v>Grünroggensilage</v>
          </cell>
        </row>
        <row r="2">
          <cell r="P2" t="str">
            <v>Putenmist</v>
          </cell>
          <cell r="Q2" t="str">
            <v>Weizenkleie</v>
          </cell>
        </row>
        <row r="4">
          <cell r="C4" t="str">
            <v>Sep</v>
          </cell>
          <cell r="D4">
            <v>33.4098994853373</v>
          </cell>
          <cell r="E4">
            <v>0</v>
          </cell>
          <cell r="F4">
            <v>50.2659666332769</v>
          </cell>
          <cell r="G4">
            <v>0</v>
          </cell>
          <cell r="H4">
            <v>0</v>
          </cell>
          <cell r="I4">
            <v>16.2861386480605</v>
          </cell>
          <cell r="J4">
            <v>0</v>
          </cell>
        </row>
        <row r="4">
          <cell r="P4">
            <v>0</v>
          </cell>
          <cell r="Q4">
            <v>0</v>
          </cell>
        </row>
        <row r="4">
          <cell r="Z4">
            <v>38.6013333333333</v>
          </cell>
        </row>
        <row r="5">
          <cell r="C5" t="str">
            <v>Okt</v>
          </cell>
          <cell r="D5">
            <v>34.1228794285618</v>
          </cell>
          <cell r="E5">
            <v>0</v>
          </cell>
          <cell r="F5">
            <v>48.9226570528479</v>
          </cell>
          <cell r="G5">
            <v>0</v>
          </cell>
          <cell r="H5">
            <v>0</v>
          </cell>
          <cell r="I5">
            <v>16.922454893108</v>
          </cell>
          <cell r="J5">
            <v>0</v>
          </cell>
        </row>
        <row r="5">
          <cell r="P5">
            <v>0</v>
          </cell>
          <cell r="Q5">
            <v>0</v>
          </cell>
        </row>
        <row r="5">
          <cell r="Z5">
            <v>38.2961290322581</v>
          </cell>
        </row>
        <row r="6">
          <cell r="C6" t="str">
            <v>Nov</v>
          </cell>
          <cell r="D6">
            <v>35.1924182643694</v>
          </cell>
          <cell r="E6">
            <v>0</v>
          </cell>
          <cell r="F6">
            <v>49.7254000039653</v>
          </cell>
          <cell r="G6">
            <v>0</v>
          </cell>
          <cell r="H6">
            <v>0</v>
          </cell>
          <cell r="I6">
            <v>15.0484763169895</v>
          </cell>
          <cell r="J6">
            <v>0</v>
          </cell>
        </row>
        <row r="6">
          <cell r="P6">
            <v>0</v>
          </cell>
          <cell r="Q6">
            <v>0</v>
          </cell>
        </row>
        <row r="6">
          <cell r="Z6">
            <v>33.6246666666667</v>
          </cell>
        </row>
        <row r="7">
          <cell r="C7" t="str">
            <v>Dez</v>
          </cell>
          <cell r="D7">
            <v>32.951380769149</v>
          </cell>
          <cell r="E7">
            <v>0</v>
          </cell>
          <cell r="F7">
            <v>57.1228129849699</v>
          </cell>
          <cell r="G7">
            <v>0</v>
          </cell>
          <cell r="H7">
            <v>0</v>
          </cell>
          <cell r="I7">
            <v>9.8854142307447</v>
          </cell>
          <cell r="J7">
            <v>0</v>
          </cell>
        </row>
        <row r="7">
          <cell r="P7">
            <v>0</v>
          </cell>
          <cell r="Q7">
            <v>0</v>
          </cell>
        </row>
        <row r="7">
          <cell r="Z7">
            <v>30.3477419354839</v>
          </cell>
        </row>
        <row r="8">
          <cell r="C8" t="str">
            <v>Jan</v>
          </cell>
          <cell r="D8">
            <v>34.1383057025691</v>
          </cell>
          <cell r="E8">
            <v>0</v>
          </cell>
          <cell r="F8">
            <v>50.8306754056991</v>
          </cell>
          <cell r="G8">
            <v>0</v>
          </cell>
          <cell r="H8">
            <v>0</v>
          </cell>
          <cell r="I8">
            <v>14.9924643370369</v>
          </cell>
          <cell r="J8">
            <v>0</v>
          </cell>
        </row>
        <row r="8">
          <cell r="P8">
            <v>0</v>
          </cell>
          <cell r="Q8">
            <v>0</v>
          </cell>
        </row>
        <row r="8">
          <cell r="Z8">
            <v>36.8141935483871</v>
          </cell>
        </row>
        <row r="9">
          <cell r="C9" t="str">
            <v>Feb</v>
          </cell>
          <cell r="D9">
            <v>33.6606970922396</v>
          </cell>
          <cell r="E9">
            <v>0</v>
          </cell>
          <cell r="F9">
            <v>50.7798960138648</v>
          </cell>
          <cell r="G9">
            <v>0</v>
          </cell>
          <cell r="H9">
            <v>0</v>
          </cell>
          <cell r="I9">
            <v>15.5208935104949</v>
          </cell>
          <cell r="J9">
            <v>0</v>
          </cell>
        </row>
        <row r="9">
          <cell r="P9">
            <v>0</v>
          </cell>
          <cell r="Q9">
            <v>0</v>
          </cell>
        </row>
        <row r="9">
          <cell r="Z9">
            <v>37.0928571428571</v>
          </cell>
        </row>
        <row r="10">
          <cell r="C10" t="str">
            <v>Mrz</v>
          </cell>
          <cell r="D10">
            <v>34.2102056094291</v>
          </cell>
          <cell r="E10">
            <v>0</v>
          </cell>
          <cell r="F10">
            <v>49.7919532025279</v>
          </cell>
          <cell r="G10">
            <v>0</v>
          </cell>
          <cell r="H10">
            <v>0</v>
          </cell>
          <cell r="I10">
            <v>15.9560577308101</v>
          </cell>
          <cell r="J10">
            <v>0</v>
          </cell>
        </row>
        <row r="10">
          <cell r="P10">
            <v>0</v>
          </cell>
          <cell r="Q10">
            <v>0</v>
          </cell>
        </row>
        <row r="10">
          <cell r="Z10">
            <v>37.0574193548387</v>
          </cell>
        </row>
        <row r="11">
          <cell r="C11" t="str">
            <v>Apr</v>
          </cell>
          <cell r="D11">
            <v>35.3815375821663</v>
          </cell>
          <cell r="E11">
            <v>0</v>
          </cell>
          <cell r="F11">
            <v>49.9857102029151</v>
          </cell>
          <cell r="G11">
            <v>0</v>
          </cell>
          <cell r="H11">
            <v>0</v>
          </cell>
          <cell r="I11">
            <v>14.5946460893589</v>
          </cell>
          <cell r="J11">
            <v>0</v>
          </cell>
        </row>
        <row r="11">
          <cell r="P11">
            <v>0</v>
          </cell>
          <cell r="Q11">
            <v>0</v>
          </cell>
        </row>
        <row r="11">
          <cell r="Z11">
            <v>34.99</v>
          </cell>
        </row>
        <row r="12">
          <cell r="C12" t="str">
            <v>Mai</v>
          </cell>
          <cell r="D12">
            <v>35.6619684852324</v>
          </cell>
          <cell r="E12">
            <v>0</v>
          </cell>
          <cell r="F12">
            <v>50.4592604323383</v>
          </cell>
          <cell r="G12">
            <v>0</v>
          </cell>
          <cell r="H12">
            <v>0</v>
          </cell>
          <cell r="I12">
            <v>13.8372000950194</v>
          </cell>
          <cell r="J12">
            <v>0</v>
          </cell>
        </row>
        <row r="12">
          <cell r="P12">
            <v>0</v>
          </cell>
          <cell r="Q12">
            <v>0</v>
          </cell>
        </row>
        <row r="12">
          <cell r="Z12">
            <v>32.5909677419355</v>
          </cell>
        </row>
        <row r="13">
          <cell r="C13" t="str">
            <v>Jun</v>
          </cell>
          <cell r="D13">
            <v>34.4184321340519</v>
          </cell>
          <cell r="E13">
            <v>0</v>
          </cell>
          <cell r="F13">
            <v>49.2985403530207</v>
          </cell>
          <cell r="G13">
            <v>0</v>
          </cell>
          <cell r="H13">
            <v>0</v>
          </cell>
          <cell r="I13">
            <v>16.2328453297842</v>
          </cell>
          <cell r="J13">
            <v>0</v>
          </cell>
        </row>
        <row r="13">
          <cell r="P13">
            <v>0</v>
          </cell>
          <cell r="Q13">
            <v>0</v>
          </cell>
        </row>
        <row r="13">
          <cell r="Z13">
            <v>30.5553333333333</v>
          </cell>
        </row>
        <row r="14">
          <cell r="C14" t="str">
            <v>Jul</v>
          </cell>
          <cell r="D14">
            <v>33.4099474054748</v>
          </cell>
          <cell r="E14">
            <v>0</v>
          </cell>
          <cell r="F14">
            <v>46.3204538866112</v>
          </cell>
          <cell r="G14">
            <v>0</v>
          </cell>
          <cell r="H14">
            <v>0</v>
          </cell>
          <cell r="I14">
            <v>20.219903093552</v>
          </cell>
          <cell r="J14">
            <v>0</v>
          </cell>
        </row>
        <row r="14">
          <cell r="P14">
            <v>0</v>
          </cell>
          <cell r="Q14">
            <v>0</v>
          </cell>
        </row>
        <row r="14">
          <cell r="Z14">
            <v>31.1574193548387</v>
          </cell>
        </row>
        <row r="15">
          <cell r="C15" t="str">
            <v>Aug</v>
          </cell>
          <cell r="D15">
            <v>44.5450959589777</v>
          </cell>
          <cell r="E15">
            <v>0</v>
          </cell>
          <cell r="F15">
            <v>28.4816583017097</v>
          </cell>
          <cell r="G15">
            <v>0</v>
          </cell>
          <cell r="H15">
            <v>0</v>
          </cell>
          <cell r="I15">
            <v>26.9174793596387</v>
          </cell>
          <cell r="J15">
            <v>0</v>
          </cell>
        </row>
        <row r="15">
          <cell r="P15">
            <v>0</v>
          </cell>
          <cell r="Q15">
            <v>0</v>
          </cell>
        </row>
        <row r="15">
          <cell r="Z15">
            <v>23.7164516129032</v>
          </cell>
        </row>
        <row r="25">
          <cell r="D25" t="str">
            <v>FOS/TAC</v>
          </cell>
        </row>
        <row r="28">
          <cell r="E28">
            <v>0.3665</v>
          </cell>
        </row>
        <row r="29">
          <cell r="E29">
            <v>0.3365</v>
          </cell>
        </row>
        <row r="30">
          <cell r="E30">
            <v>0.354</v>
          </cell>
        </row>
        <row r="31">
          <cell r="E31">
            <v>0.3395</v>
          </cell>
        </row>
        <row r="32">
          <cell r="E32">
            <v>0.3515</v>
          </cell>
        </row>
        <row r="33">
          <cell r="E33">
            <v>0.355</v>
          </cell>
        </row>
        <row r="34">
          <cell r="E34">
            <v>0.353</v>
          </cell>
        </row>
        <row r="35">
          <cell r="E35">
            <v>0.3325</v>
          </cell>
        </row>
        <row r="36">
          <cell r="E36">
            <v>0.351</v>
          </cell>
        </row>
        <row r="37">
          <cell r="E37">
            <v>0.2995</v>
          </cell>
        </row>
        <row r="38">
          <cell r="E38">
            <v>0.3695</v>
          </cell>
        </row>
        <row r="39">
          <cell r="E39">
            <v>0.3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98.1787749287749</v>
          </cell>
          <cell r="I49">
            <v>94.5787661187271</v>
          </cell>
        </row>
        <row r="50">
          <cell r="C50" t="str">
            <v>Okt</v>
          </cell>
        </row>
        <row r="50">
          <cell r="H50">
            <v>100.060298787897</v>
          </cell>
          <cell r="I50">
            <v>103.816028759436</v>
          </cell>
        </row>
        <row r="51">
          <cell r="C51" t="str">
            <v>Nov</v>
          </cell>
        </row>
        <row r="51">
          <cell r="H51">
            <v>98.1640023214095</v>
          </cell>
          <cell r="I51">
            <v>127.568107633288</v>
          </cell>
        </row>
        <row r="52">
          <cell r="C52" t="str">
            <v>Dez</v>
          </cell>
        </row>
        <row r="52">
          <cell r="H52">
            <v>86.1568330116714</v>
          </cell>
          <cell r="I52">
            <v>135.788957399856</v>
          </cell>
        </row>
        <row r="53">
          <cell r="C53" t="str">
            <v>Jan</v>
          </cell>
        </row>
        <row r="53">
          <cell r="H53">
            <v>101.709482431149</v>
          </cell>
          <cell r="I53">
            <v>129.298800893783</v>
          </cell>
        </row>
        <row r="54">
          <cell r="C54" t="str">
            <v>Feb</v>
          </cell>
        </row>
        <row r="54">
          <cell r="H54">
            <v>106.501435223478</v>
          </cell>
          <cell r="I54">
            <v>192.379129696381</v>
          </cell>
        </row>
        <row r="55">
          <cell r="C55" t="str">
            <v>Mrz</v>
          </cell>
        </row>
        <row r="55">
          <cell r="H55">
            <v>103.5637885611</v>
          </cell>
          <cell r="I55">
            <v>156.397087754379</v>
          </cell>
        </row>
        <row r="56">
          <cell r="C56" t="str">
            <v>Apr</v>
          </cell>
        </row>
        <row r="56">
          <cell r="H56">
            <v>101.990703979414</v>
          </cell>
          <cell r="I56">
            <v>120.242641243494</v>
          </cell>
        </row>
        <row r="57">
          <cell r="C57" t="str">
            <v>Mai</v>
          </cell>
        </row>
        <row r="57">
          <cell r="H57">
            <v>95.9685231136847</v>
          </cell>
          <cell r="I57">
            <v>103.296385365806</v>
          </cell>
        </row>
        <row r="58">
          <cell r="C58" t="str">
            <v>Jun</v>
          </cell>
        </row>
        <row r="58">
          <cell r="H58">
            <v>91.5203902827556</v>
          </cell>
          <cell r="I58">
            <v>100.607886198164</v>
          </cell>
        </row>
        <row r="59">
          <cell r="C59" t="str">
            <v>Jul</v>
          </cell>
        </row>
        <row r="59">
          <cell r="H59">
            <v>89.0431179732257</v>
          </cell>
          <cell r="I59">
            <v>101.137996434874</v>
          </cell>
        </row>
        <row r="60">
          <cell r="C60" t="str">
            <v>Aug</v>
          </cell>
        </row>
        <row r="60">
          <cell r="H60">
            <v>85.1914667769508</v>
          </cell>
          <cell r="I60">
            <v>95.1200483423177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BGA 51_Diagramme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Hafer Getreide und Getreidekorn</v>
          </cell>
          <cell r="H2" t="str">
            <v>Zuckerrüben</v>
          </cell>
          <cell r="I2" t="str">
            <v>Grassilage</v>
          </cell>
          <cell r="J2" t="str">
            <v>Roggen-Ganzpflanzensilage</v>
          </cell>
        </row>
        <row r="2">
          <cell r="P2" t="str">
            <v>Putenmist</v>
          </cell>
          <cell r="Q2" t="str">
            <v>Weizenkleie</v>
          </cell>
        </row>
        <row r="4">
          <cell r="C4" t="str">
            <v>Sep</v>
          </cell>
          <cell r="D4">
            <v>0</v>
          </cell>
          <cell r="E4">
            <v>41.662521254266</v>
          </cell>
          <cell r="F4">
            <v>0</v>
          </cell>
          <cell r="G4">
            <v>0</v>
          </cell>
          <cell r="H4">
            <v>0</v>
          </cell>
          <cell r="I4">
            <v>58.337478745734</v>
          </cell>
          <cell r="J4">
            <v>0</v>
          </cell>
        </row>
        <row r="4">
          <cell r="P4">
            <v>0</v>
          </cell>
          <cell r="Q4">
            <v>0</v>
          </cell>
        </row>
        <row r="4">
          <cell r="Z4">
            <v>64.1047777777778</v>
          </cell>
        </row>
        <row r="5">
          <cell r="C5" t="str">
            <v>Okt</v>
          </cell>
          <cell r="D5">
            <v>0</v>
          </cell>
          <cell r="E5">
            <v>53.4688474992909</v>
          </cell>
          <cell r="F5">
            <v>0</v>
          </cell>
          <cell r="G5">
            <v>0</v>
          </cell>
          <cell r="H5">
            <v>0</v>
          </cell>
          <cell r="I5">
            <v>46.5311525007091</v>
          </cell>
          <cell r="J5">
            <v>0</v>
          </cell>
        </row>
        <row r="5">
          <cell r="P5">
            <v>0</v>
          </cell>
          <cell r="Q5">
            <v>0</v>
          </cell>
        </row>
        <row r="5">
          <cell r="Z5">
            <v>34.1193548387097</v>
          </cell>
        </row>
        <row r="6">
          <cell r="C6" t="str">
            <v>Nov</v>
          </cell>
          <cell r="D6">
            <v>0</v>
          </cell>
          <cell r="E6">
            <v>28.7484141632965</v>
          </cell>
          <cell r="F6">
            <v>0</v>
          </cell>
          <cell r="G6">
            <v>0</v>
          </cell>
          <cell r="H6">
            <v>0</v>
          </cell>
          <cell r="I6">
            <v>35.817696334599</v>
          </cell>
          <cell r="J6">
            <v>35.4338895021045</v>
          </cell>
        </row>
        <row r="6">
          <cell r="P6">
            <v>0</v>
          </cell>
          <cell r="Q6">
            <v>0</v>
          </cell>
        </row>
        <row r="6">
          <cell r="Z6">
            <v>72.7796666666667</v>
          </cell>
        </row>
        <row r="7">
          <cell r="C7" t="str">
            <v>Dez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100</v>
          </cell>
        </row>
        <row r="7">
          <cell r="P7">
            <v>0</v>
          </cell>
          <cell r="Q7">
            <v>0</v>
          </cell>
        </row>
        <row r="7">
          <cell r="Z7">
            <v>46.2687096774194</v>
          </cell>
        </row>
        <row r="8">
          <cell r="C8" t="str">
            <v>Jan</v>
          </cell>
          <cell r="D8">
            <v>0</v>
          </cell>
          <cell r="E8">
            <v>29.5601590787677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70.4398409212323</v>
          </cell>
        </row>
        <row r="8">
          <cell r="P8">
            <v>0</v>
          </cell>
          <cell r="Q8">
            <v>0</v>
          </cell>
        </row>
        <row r="8">
          <cell r="Z8">
            <v>54.3451612903226</v>
          </cell>
        </row>
        <row r="9">
          <cell r="C9" t="str">
            <v>Feb</v>
          </cell>
          <cell r="D9">
            <v>0</v>
          </cell>
          <cell r="E9">
            <v>14.376541071465</v>
          </cell>
          <cell r="F9">
            <v>0</v>
          </cell>
          <cell r="G9">
            <v>0</v>
          </cell>
          <cell r="H9">
            <v>0</v>
          </cell>
          <cell r="I9">
            <v>56.5861064128951</v>
          </cell>
          <cell r="J9">
            <v>29.03735251564</v>
          </cell>
        </row>
        <row r="9">
          <cell r="P9">
            <v>0</v>
          </cell>
          <cell r="Q9">
            <v>0</v>
          </cell>
        </row>
        <row r="9">
          <cell r="Z9">
            <v>35.0521428571429</v>
          </cell>
        </row>
        <row r="10">
          <cell r="C10" t="str">
            <v>Mrz</v>
          </cell>
          <cell r="D10">
            <v>0</v>
          </cell>
          <cell r="E10">
            <v>45.6122389437333</v>
          </cell>
          <cell r="F10">
            <v>0</v>
          </cell>
          <cell r="G10">
            <v>0</v>
          </cell>
          <cell r="H10">
            <v>0</v>
          </cell>
          <cell r="I10">
            <v>50.3562088556227</v>
          </cell>
          <cell r="J10">
            <v>4.03155220064399</v>
          </cell>
        </row>
        <row r="10">
          <cell r="P10">
            <v>0</v>
          </cell>
          <cell r="Q10">
            <v>0</v>
          </cell>
        </row>
        <row r="10">
          <cell r="Z10">
            <v>60.8106451612903</v>
          </cell>
        </row>
        <row r="11">
          <cell r="C11" t="str">
            <v>Apr</v>
          </cell>
          <cell r="D11">
            <v>0</v>
          </cell>
          <cell r="E11">
            <v>49.1331477629719</v>
          </cell>
          <cell r="F11">
            <v>0</v>
          </cell>
          <cell r="G11">
            <v>0</v>
          </cell>
          <cell r="H11">
            <v>0</v>
          </cell>
          <cell r="I11">
            <v>50.8668522370281</v>
          </cell>
          <cell r="J11">
            <v>0</v>
          </cell>
        </row>
        <row r="11">
          <cell r="P11">
            <v>0</v>
          </cell>
          <cell r="Q11">
            <v>0</v>
          </cell>
        </row>
        <row r="11">
          <cell r="Z11">
            <v>54.0076666666667</v>
          </cell>
        </row>
        <row r="12">
          <cell r="C12" t="str">
            <v>Mai</v>
          </cell>
          <cell r="D12">
            <v>0</v>
          </cell>
          <cell r="E12">
            <v>48.162455462636</v>
          </cell>
          <cell r="F12">
            <v>0</v>
          </cell>
          <cell r="G12">
            <v>0</v>
          </cell>
          <cell r="H12">
            <v>0</v>
          </cell>
          <cell r="I12">
            <v>51.837544537364</v>
          </cell>
          <cell r="J12">
            <v>0</v>
          </cell>
        </row>
        <row r="12">
          <cell r="P12">
            <v>0</v>
          </cell>
          <cell r="Q12">
            <v>0</v>
          </cell>
        </row>
        <row r="12">
          <cell r="Z12">
            <v>61.2932258064516</v>
          </cell>
        </row>
        <row r="13">
          <cell r="C13" t="str">
            <v>Jun</v>
          </cell>
          <cell r="D13">
            <v>0</v>
          </cell>
          <cell r="E13">
            <v>42.6488200507599</v>
          </cell>
          <cell r="F13">
            <v>0</v>
          </cell>
          <cell r="G13">
            <v>0</v>
          </cell>
          <cell r="H13">
            <v>0</v>
          </cell>
          <cell r="I13">
            <v>57.3511799492401</v>
          </cell>
          <cell r="J13">
            <v>0</v>
          </cell>
        </row>
        <row r="13">
          <cell r="P13">
            <v>0</v>
          </cell>
          <cell r="Q13">
            <v>0</v>
          </cell>
        </row>
        <row r="13">
          <cell r="Z13">
            <v>53.717</v>
          </cell>
        </row>
        <row r="14">
          <cell r="C14" t="str">
            <v>Jul</v>
          </cell>
          <cell r="D14">
            <v>0</v>
          </cell>
          <cell r="E14">
            <v>37.6759647884708</v>
          </cell>
          <cell r="F14">
            <v>0</v>
          </cell>
          <cell r="G14">
            <v>0</v>
          </cell>
          <cell r="H14">
            <v>0</v>
          </cell>
          <cell r="I14">
            <v>19.6331513328133</v>
          </cell>
          <cell r="J14">
            <v>42.6908838787158</v>
          </cell>
        </row>
        <row r="14">
          <cell r="P14">
            <v>0</v>
          </cell>
          <cell r="Q14">
            <v>0</v>
          </cell>
        </row>
        <row r="14">
          <cell r="Z14">
            <v>52.1090322580645</v>
          </cell>
        </row>
        <row r="15">
          <cell r="C15" t="str">
            <v>Aug</v>
          </cell>
          <cell r="D15">
            <v>0</v>
          </cell>
          <cell r="E15">
            <v>36.599881907727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63.400118092273</v>
          </cell>
        </row>
        <row r="15">
          <cell r="P15">
            <v>0</v>
          </cell>
          <cell r="Q15">
            <v>0</v>
          </cell>
        </row>
        <row r="15">
          <cell r="Z15">
            <v>48.0761290322581</v>
          </cell>
        </row>
        <row r="25">
          <cell r="D25" t="str">
            <v>FOS/TAC</v>
          </cell>
        </row>
        <row r="28">
          <cell r="E28">
            <v>0.2455</v>
          </cell>
        </row>
        <row r="29">
          <cell r="E29">
            <v>0.2915</v>
          </cell>
        </row>
        <row r="30">
          <cell r="E30">
            <v>0.258</v>
          </cell>
        </row>
        <row r="31">
          <cell r="E31">
            <v>0.229</v>
          </cell>
        </row>
        <row r="32">
          <cell r="E32">
            <v>0.206</v>
          </cell>
        </row>
        <row r="33">
          <cell r="E33">
            <v>0.2205</v>
          </cell>
        </row>
        <row r="34">
          <cell r="E34">
            <v>0.3395</v>
          </cell>
        </row>
        <row r="35">
          <cell r="E35">
            <v>0.3955</v>
          </cell>
        </row>
        <row r="36">
          <cell r="E36">
            <v>0.2655</v>
          </cell>
        </row>
        <row r="37">
          <cell r="E37">
            <v>0.2625</v>
          </cell>
        </row>
        <row r="38">
          <cell r="E38">
            <v>0.211</v>
          </cell>
        </row>
        <row r="39">
          <cell r="E39">
            <v>0.21</v>
          </cell>
        </row>
        <row r="47">
          <cell r="H47" t="str">
            <v>Elektrische Auslastung</v>
          </cell>
          <cell r="I47" t="str">
            <v>Thermische Auslastung durch Fremdnutzer</v>
          </cell>
        </row>
        <row r="49">
          <cell r="C49" t="str">
            <v>Sep</v>
          </cell>
        </row>
        <row r="49">
          <cell r="H49">
            <v>106.02766395664</v>
          </cell>
          <cell r="I49">
            <v>0</v>
          </cell>
        </row>
        <row r="50">
          <cell r="C50" t="str">
            <v>Okt</v>
          </cell>
        </row>
        <row r="50">
          <cell r="H50">
            <v>85.1272005420054</v>
          </cell>
          <cell r="I50">
            <v>0</v>
          </cell>
        </row>
        <row r="51">
          <cell r="C51" t="str">
            <v>Nov</v>
          </cell>
        </row>
        <row r="51">
          <cell r="H51">
            <v>128.98618699187</v>
          </cell>
          <cell r="I51">
            <v>0</v>
          </cell>
        </row>
        <row r="52">
          <cell r="C52" t="str">
            <v>Dez</v>
          </cell>
        </row>
        <row r="52">
          <cell r="H52">
            <v>134.3522899729</v>
          </cell>
          <cell r="I52">
            <v>0</v>
          </cell>
        </row>
        <row r="53">
          <cell r="C53" t="str">
            <v>Jan</v>
          </cell>
        </row>
        <row r="53">
          <cell r="H53">
            <v>114.540563685637</v>
          </cell>
          <cell r="I53">
            <v>0</v>
          </cell>
        </row>
        <row r="54">
          <cell r="C54" t="str">
            <v>Feb</v>
          </cell>
        </row>
        <row r="54">
          <cell r="H54">
            <v>117.058913279133</v>
          </cell>
          <cell r="I54">
            <v>0</v>
          </cell>
        </row>
        <row r="55">
          <cell r="C55" t="str">
            <v>Mrz</v>
          </cell>
        </row>
        <row r="55">
          <cell r="H55">
            <v>93.8208116531165</v>
          </cell>
          <cell r="I55">
            <v>0</v>
          </cell>
        </row>
        <row r="56">
          <cell r="C56" t="str">
            <v>Apr</v>
          </cell>
        </row>
        <row r="56">
          <cell r="H56">
            <v>97.9306422764228</v>
          </cell>
          <cell r="I56">
            <v>0</v>
          </cell>
        </row>
        <row r="57">
          <cell r="C57" t="str">
            <v>Mai</v>
          </cell>
        </row>
        <row r="57">
          <cell r="H57">
            <v>115.282920054201</v>
          </cell>
          <cell r="I57">
            <v>0</v>
          </cell>
        </row>
        <row r="58">
          <cell r="C58" t="str">
            <v>Jun</v>
          </cell>
        </row>
        <row r="58">
          <cell r="H58">
            <v>110.404357723577</v>
          </cell>
          <cell r="I58">
            <v>0</v>
          </cell>
        </row>
        <row r="59">
          <cell r="C59" t="str">
            <v>Jul</v>
          </cell>
        </row>
        <row r="59">
          <cell r="H59">
            <v>102.792734417344</v>
          </cell>
          <cell r="I59">
            <v>0</v>
          </cell>
        </row>
        <row r="60">
          <cell r="C60" t="str">
            <v>Aug</v>
          </cell>
        </row>
        <row r="60">
          <cell r="H60">
            <v>102.928227642276</v>
          </cell>
          <cell r="I60">
            <v>0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BGA 52_Diagramme"/>
    </sheetNames>
    <sheetDataSet>
      <sheetData sheetId="0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Getreide insg. Getreide und Getreidekorn</v>
          </cell>
          <cell r="H2" t="str">
            <v>Zuckerrübe</v>
          </cell>
          <cell r="I2" t="str">
            <v>Grassilage</v>
          </cell>
          <cell r="J2" t="str">
            <v>Roggen-Ganzpflanzensilage</v>
          </cell>
        </row>
        <row r="2">
          <cell r="P2" t="str">
            <v>Putenmist</v>
          </cell>
          <cell r="Q2" t="str">
            <v>Weizenkleie</v>
          </cell>
        </row>
        <row r="4">
          <cell r="C4" t="str">
            <v>Sep</v>
          </cell>
          <cell r="D4">
            <v>0</v>
          </cell>
          <cell r="E4">
            <v>0</v>
          </cell>
          <cell r="F4">
            <v>45.5703163841494</v>
          </cell>
          <cell r="G4">
            <v>4.71257120795918</v>
          </cell>
          <cell r="H4">
            <v>0</v>
          </cell>
          <cell r="I4">
            <v>8.05472770854107</v>
          </cell>
          <cell r="J4">
            <v>41.6623846993503</v>
          </cell>
        </row>
        <row r="4">
          <cell r="P4">
            <v>0</v>
          </cell>
          <cell r="Q4">
            <v>0</v>
          </cell>
        </row>
        <row r="4">
          <cell r="Z4">
            <v>120.012333333333</v>
          </cell>
        </row>
        <row r="5">
          <cell r="C5" t="str">
            <v>Okt</v>
          </cell>
          <cell r="D5">
            <v>0</v>
          </cell>
          <cell r="E5">
            <v>0</v>
          </cell>
          <cell r="F5">
            <v>52.9846221683294</v>
          </cell>
          <cell r="G5">
            <v>3.99603152731081</v>
          </cell>
          <cell r="H5">
            <v>0</v>
          </cell>
          <cell r="I5">
            <v>11.7676238769773</v>
          </cell>
          <cell r="J5">
            <v>31.2517224273825</v>
          </cell>
        </row>
        <row r="5">
          <cell r="P5">
            <v>0</v>
          </cell>
          <cell r="Q5">
            <v>0</v>
          </cell>
        </row>
        <row r="5">
          <cell r="Z5">
            <v>117.051612903226</v>
          </cell>
        </row>
        <row r="6">
          <cell r="C6" t="str">
            <v>Nov</v>
          </cell>
          <cell r="D6">
            <v>0</v>
          </cell>
          <cell r="E6">
            <v>0</v>
          </cell>
          <cell r="F6">
            <v>37.1354213407521</v>
          </cell>
          <cell r="G6">
            <v>8.19572825989411</v>
          </cell>
          <cell r="H6">
            <v>4.25603517903617</v>
          </cell>
          <cell r="I6">
            <v>43.749439109755</v>
          </cell>
          <cell r="J6">
            <v>6.66337611056269</v>
          </cell>
        </row>
        <row r="6">
          <cell r="P6">
            <v>0</v>
          </cell>
          <cell r="Q6">
            <v>0</v>
          </cell>
        </row>
        <row r="6">
          <cell r="Z6">
            <v>148.573333333333</v>
          </cell>
        </row>
        <row r="7">
          <cell r="C7" t="str">
            <v>Dez</v>
          </cell>
          <cell r="D7">
            <v>0</v>
          </cell>
          <cell r="E7">
            <v>0</v>
          </cell>
          <cell r="F7">
            <v>54.3376705640159</v>
          </cell>
          <cell r="G7">
            <v>7.23428963551427</v>
          </cell>
          <cell r="H7">
            <v>9.44865264324738</v>
          </cell>
          <cell r="I7">
            <v>28.9793871572224</v>
          </cell>
          <cell r="J7">
            <v>0</v>
          </cell>
        </row>
        <row r="7">
          <cell r="P7">
            <v>0</v>
          </cell>
          <cell r="Q7">
            <v>0</v>
          </cell>
        </row>
        <row r="7">
          <cell r="Z7">
            <v>122.222580645161</v>
          </cell>
        </row>
        <row r="8">
          <cell r="C8" t="str">
            <v>Jan</v>
          </cell>
          <cell r="D8">
            <v>0</v>
          </cell>
          <cell r="E8">
            <v>0</v>
          </cell>
          <cell r="F8">
            <v>56.3188128291048</v>
          </cell>
          <cell r="G8">
            <v>8.30540928674007</v>
          </cell>
          <cell r="H8">
            <v>10.6430509015478</v>
          </cell>
          <cell r="I8">
            <v>24.7327269826073</v>
          </cell>
          <cell r="J8">
            <v>0</v>
          </cell>
        </row>
        <row r="8">
          <cell r="P8">
            <v>0</v>
          </cell>
          <cell r="Q8">
            <v>0</v>
          </cell>
        </row>
        <row r="8">
          <cell r="Z8">
            <v>121.296774193548</v>
          </cell>
        </row>
        <row r="9">
          <cell r="C9" t="str">
            <v>Feb</v>
          </cell>
          <cell r="D9">
            <v>0</v>
          </cell>
          <cell r="E9">
            <v>0</v>
          </cell>
          <cell r="F9">
            <v>49.6921025425887</v>
          </cell>
          <cell r="G9">
            <v>7.28615734983444</v>
          </cell>
          <cell r="H9">
            <v>10.2992074075184</v>
          </cell>
          <cell r="I9">
            <v>30.0256206643393</v>
          </cell>
          <cell r="J9">
            <v>2.6969120357191</v>
          </cell>
        </row>
        <row r="9">
          <cell r="P9">
            <v>0</v>
          </cell>
          <cell r="Q9">
            <v>0</v>
          </cell>
        </row>
        <row r="9">
          <cell r="Z9">
            <v>119.183928571429</v>
          </cell>
        </row>
        <row r="10">
          <cell r="C10" t="str">
            <v>Mrz</v>
          </cell>
          <cell r="D10">
            <v>0</v>
          </cell>
          <cell r="E10">
            <v>0</v>
          </cell>
          <cell r="F10">
            <v>54.0245365722262</v>
          </cell>
          <cell r="G10">
            <v>1.897788769988</v>
          </cell>
          <cell r="H10">
            <v>0</v>
          </cell>
          <cell r="I10">
            <v>24.3406714499106</v>
          </cell>
          <cell r="J10">
            <v>19.7370032078752</v>
          </cell>
        </row>
        <row r="10">
          <cell r="P10">
            <v>0</v>
          </cell>
          <cell r="Q10">
            <v>0</v>
          </cell>
        </row>
        <row r="10">
          <cell r="Z10">
            <v>131.732258064516</v>
          </cell>
        </row>
        <row r="11">
          <cell r="C11" t="str">
            <v>Apr</v>
          </cell>
          <cell r="D11">
            <v>0</v>
          </cell>
          <cell r="E11">
            <v>0</v>
          </cell>
          <cell r="F11">
            <v>47.2498906758661</v>
          </cell>
          <cell r="G11">
            <v>0.590350323113551</v>
          </cell>
          <cell r="H11">
            <v>0</v>
          </cell>
          <cell r="I11">
            <v>26.35926339828</v>
          </cell>
          <cell r="J11">
            <v>25.8004956027404</v>
          </cell>
        </row>
        <row r="11">
          <cell r="P11">
            <v>0</v>
          </cell>
          <cell r="Q11">
            <v>0</v>
          </cell>
        </row>
        <row r="11">
          <cell r="Z11">
            <v>137.206666666667</v>
          </cell>
        </row>
        <row r="12">
          <cell r="C12" t="str">
            <v>Mai</v>
          </cell>
          <cell r="D12">
            <v>0</v>
          </cell>
          <cell r="E12">
            <v>0</v>
          </cell>
          <cell r="F12">
            <v>24.3481442528486</v>
          </cell>
          <cell r="G12">
            <v>2.65828672874777</v>
          </cell>
          <cell r="H12">
            <v>0</v>
          </cell>
          <cell r="I12">
            <v>66.9678565773789</v>
          </cell>
          <cell r="J12">
            <v>6.02981435555231</v>
          </cell>
        </row>
        <row r="12">
          <cell r="P12">
            <v>0</v>
          </cell>
          <cell r="Q12">
            <v>0</v>
          </cell>
        </row>
        <row r="12">
          <cell r="Z12">
            <v>131.069139784946</v>
          </cell>
        </row>
        <row r="13">
          <cell r="C13" t="str">
            <v>Jun</v>
          </cell>
          <cell r="D13">
            <v>0</v>
          </cell>
          <cell r="E13">
            <v>0</v>
          </cell>
          <cell r="F13">
            <v>49.8745080143745</v>
          </cell>
          <cell r="G13">
            <v>5.67280816838743</v>
          </cell>
          <cell r="H13">
            <v>0</v>
          </cell>
          <cell r="I13">
            <v>9.08676059551652</v>
          </cell>
          <cell r="J13">
            <v>35.3659232217215</v>
          </cell>
        </row>
        <row r="13">
          <cell r="P13">
            <v>0</v>
          </cell>
          <cell r="Q13">
            <v>0</v>
          </cell>
        </row>
        <row r="13">
          <cell r="Z13">
            <v>116.873333333333</v>
          </cell>
        </row>
        <row r="14">
          <cell r="C14" t="str">
            <v>Jul</v>
          </cell>
          <cell r="D14">
            <v>0</v>
          </cell>
          <cell r="E14">
            <v>0</v>
          </cell>
          <cell r="F14">
            <v>44.2603302070536</v>
          </cell>
          <cell r="G14">
            <v>9.72043268510472</v>
          </cell>
          <cell r="H14">
            <v>0</v>
          </cell>
          <cell r="I14">
            <v>13.5378899110059</v>
          </cell>
          <cell r="J14">
            <v>32.4813471968358</v>
          </cell>
        </row>
        <row r="14">
          <cell r="P14">
            <v>0</v>
          </cell>
          <cell r="Q14">
            <v>0</v>
          </cell>
        </row>
        <row r="14">
          <cell r="Z14">
            <v>107.654838709677</v>
          </cell>
        </row>
        <row r="15">
          <cell r="C15" t="str">
            <v>Aug</v>
          </cell>
          <cell r="D15">
            <v>0</v>
          </cell>
          <cell r="E15">
            <v>0</v>
          </cell>
          <cell r="F15">
            <v>37.7657906291162</v>
          </cell>
          <cell r="G15">
            <v>10.0796587844195</v>
          </cell>
          <cell r="H15">
            <v>0</v>
          </cell>
          <cell r="I15">
            <v>6.49187731292731</v>
          </cell>
          <cell r="J15">
            <v>45.662673273537</v>
          </cell>
        </row>
        <row r="15">
          <cell r="P15">
            <v>0</v>
          </cell>
          <cell r="Q15">
            <v>0</v>
          </cell>
        </row>
        <row r="15">
          <cell r="Z15">
            <v>102.858064516129</v>
          </cell>
        </row>
        <row r="28">
          <cell r="E28">
            <v>0.26</v>
          </cell>
          <cell r="F28">
            <v>0.2415</v>
          </cell>
        </row>
        <row r="29">
          <cell r="E29">
            <v>0.2935</v>
          </cell>
          <cell r="F29">
            <v>0.251</v>
          </cell>
        </row>
        <row r="30">
          <cell r="E30">
            <v>0.2675</v>
          </cell>
          <cell r="F30">
            <v>0.237</v>
          </cell>
        </row>
        <row r="31">
          <cell r="E31">
            <v>0.261</v>
          </cell>
          <cell r="F31">
            <v>0.2145</v>
          </cell>
        </row>
        <row r="32">
          <cell r="E32">
            <v>0.28</v>
          </cell>
          <cell r="F32">
            <v>0.242</v>
          </cell>
        </row>
        <row r="33">
          <cell r="E33">
            <v>0.311</v>
          </cell>
          <cell r="F33">
            <v>0.256</v>
          </cell>
        </row>
        <row r="34">
          <cell r="E34">
            <v>0.2845</v>
          </cell>
          <cell r="F34">
            <v>0.2165</v>
          </cell>
        </row>
        <row r="35">
          <cell r="E35">
            <v>0.289</v>
          </cell>
          <cell r="F35">
            <v>0.2245</v>
          </cell>
        </row>
        <row r="36">
          <cell r="E36">
            <v>0.238</v>
          </cell>
          <cell r="F36">
            <v>0.2405</v>
          </cell>
        </row>
        <row r="37">
          <cell r="E37">
            <v>0.2605</v>
          </cell>
          <cell r="F37">
            <v>0.275</v>
          </cell>
        </row>
        <row r="38">
          <cell r="E38">
            <v>0.291</v>
          </cell>
          <cell r="F38">
            <v>0.272</v>
          </cell>
        </row>
        <row r="39">
          <cell r="E39">
            <v>0.302</v>
          </cell>
          <cell r="F39">
            <v>0.231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GA 53_Diagramme"/>
    </sheetNames>
    <sheetDataSet>
      <sheetData sheetId="0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BGA 54_Diagramme"/>
    </sheetNames>
    <sheetDataSet>
      <sheetData sheetId="0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Rechnung"/>
      <sheetName val="Pivot BTB Anlage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4">
          <cell r="C4" t="str">
            <v>Sep</v>
          </cell>
        </row>
        <row r="5">
          <cell r="C5" t="str">
            <v>Okt</v>
          </cell>
        </row>
        <row r="6">
          <cell r="C6" t="str">
            <v>Nov</v>
          </cell>
        </row>
        <row r="7">
          <cell r="C7" t="str">
            <v>Dez</v>
          </cell>
        </row>
        <row r="8">
          <cell r="C8" t="str">
            <v>Jan</v>
          </cell>
        </row>
        <row r="9">
          <cell r="C9" t="str">
            <v>Feb</v>
          </cell>
        </row>
        <row r="10">
          <cell r="C10" t="str">
            <v>Mrz</v>
          </cell>
        </row>
        <row r="11">
          <cell r="C11" t="str">
            <v>Apr</v>
          </cell>
        </row>
        <row r="12">
          <cell r="C12" t="str">
            <v>Mai</v>
          </cell>
        </row>
        <row r="13">
          <cell r="C13" t="str">
            <v>Jun</v>
          </cell>
        </row>
        <row r="14">
          <cell r="C14" t="str">
            <v>Jul</v>
          </cell>
        </row>
        <row r="15">
          <cell r="C15" t="str">
            <v>Aug</v>
          </cell>
        </row>
        <row r="49">
          <cell r="C49" t="str">
            <v>Sep</v>
          </cell>
        </row>
        <row r="50">
          <cell r="C50" t="str">
            <v>Okt</v>
          </cell>
        </row>
        <row r="51">
          <cell r="C51" t="str">
            <v>Nov</v>
          </cell>
        </row>
        <row r="52">
          <cell r="C52" t="str">
            <v>Dez</v>
          </cell>
        </row>
        <row r="53">
          <cell r="C53" t="str">
            <v>Jan</v>
          </cell>
        </row>
        <row r="54">
          <cell r="C54" t="str">
            <v>Feb</v>
          </cell>
        </row>
        <row r="55">
          <cell r="C55" t="str">
            <v>Mrz</v>
          </cell>
        </row>
        <row r="56">
          <cell r="C56" t="str">
            <v>Apr</v>
          </cell>
        </row>
        <row r="57">
          <cell r="C57" t="str">
            <v>Mai</v>
          </cell>
        </row>
        <row r="58">
          <cell r="C58" t="str">
            <v>Jun</v>
          </cell>
        </row>
        <row r="59">
          <cell r="C59" t="str">
            <v>Jul</v>
          </cell>
        </row>
        <row r="60">
          <cell r="C60" t="str">
            <v>Aug</v>
          </cell>
        </row>
      </sheetData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BGA 55_Diagramme"/>
    </sheetNames>
    <sheetDataSet>
      <sheetData sheetId="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Rechnung"/>
      <sheetName val="Diagramm Kapitel 5"/>
      <sheetName val="Pivot BTB Anlage"/>
      <sheetName val="Datenblatt neu"/>
      <sheetName val="Validieru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D2" t="str">
            <v>Rindermist</v>
          </cell>
          <cell r="E2" t="str">
            <v>Schweinegülle</v>
          </cell>
        </row>
        <row r="2">
          <cell r="G2" t="str">
            <v>Maisstroh</v>
          </cell>
          <cell r="H2" t="str">
            <v>Zwiebel</v>
          </cell>
          <cell r="I2" t="str">
            <v>Grassilage</v>
          </cell>
        </row>
        <row r="2">
          <cell r="P2" t="str">
            <v>Kartoffel</v>
          </cell>
          <cell r="Q2" t="str">
            <v>Rote Beete</v>
          </cell>
          <cell r="R2" t="str">
            <v>Kraut</v>
          </cell>
        </row>
        <row r="4">
          <cell r="C4" t="str">
            <v>Sep</v>
          </cell>
          <cell r="D4">
            <v>0</v>
          </cell>
          <cell r="E4">
            <v>39.6317053642914</v>
          </cell>
          <cell r="F4">
            <v>40.3923138510809</v>
          </cell>
          <cell r="G4">
            <v>0.0800640512409928</v>
          </cell>
          <cell r="H4">
            <v>0.680544435548439</v>
          </cell>
          <cell r="I4">
            <v>0</v>
          </cell>
          <cell r="J4">
            <v>19.2153722978383</v>
          </cell>
        </row>
        <row r="4">
          <cell r="P4">
            <v>0</v>
          </cell>
          <cell r="Q4">
            <v>0</v>
          </cell>
          <cell r="R4">
            <v>0</v>
          </cell>
        </row>
        <row r="4">
          <cell r="Z4">
            <v>41.6333333333333</v>
          </cell>
        </row>
        <row r="5">
          <cell r="C5" t="str">
            <v>Okt</v>
          </cell>
          <cell r="D5">
            <v>0</v>
          </cell>
          <cell r="E5">
            <v>36.920744911217</v>
          </cell>
          <cell r="F5">
            <v>40.9195900101054</v>
          </cell>
          <cell r="G5">
            <v>2.09325826476108</v>
          </cell>
          <cell r="H5">
            <v>2.92334343871806</v>
          </cell>
          <cell r="I5">
            <v>0.3609065973726</v>
          </cell>
          <cell r="J5">
            <v>16.7821567778259</v>
          </cell>
        </row>
        <row r="5">
          <cell r="P5">
            <v>0</v>
          </cell>
          <cell r="Q5">
            <v>0</v>
          </cell>
          <cell r="R5">
            <v>0</v>
          </cell>
        </row>
        <row r="5">
          <cell r="Z5">
            <v>44.6903225806452</v>
          </cell>
        </row>
        <row r="6">
          <cell r="C6" t="str">
            <v>Nov</v>
          </cell>
          <cell r="D6">
            <v>0</v>
          </cell>
          <cell r="E6">
            <v>36.7128977230587</v>
          </cell>
          <cell r="F6">
            <v>40.0949343617889</v>
          </cell>
          <cell r="G6">
            <v>2.2250241044278</v>
          </cell>
          <cell r="H6">
            <v>2.0247719350293</v>
          </cell>
          <cell r="I6">
            <v>0.763924942520211</v>
          </cell>
          <cell r="J6">
            <v>17.904027293629</v>
          </cell>
        </row>
        <row r="6">
          <cell r="P6">
            <v>0</v>
          </cell>
          <cell r="Q6">
            <v>0.274419639546095</v>
          </cell>
          <cell r="R6">
            <v>0</v>
          </cell>
        </row>
        <row r="6">
          <cell r="Z6">
            <v>44.9433333333333</v>
          </cell>
        </row>
        <row r="7">
          <cell r="C7" t="str">
            <v>Dez</v>
          </cell>
          <cell r="D7">
            <v>0</v>
          </cell>
          <cell r="E7">
            <v>37.7379371403276</v>
          </cell>
          <cell r="F7">
            <v>36.5353401209975</v>
          </cell>
          <cell r="G7">
            <v>2.44208351778073</v>
          </cell>
          <cell r="H7">
            <v>0.848458019772761</v>
          </cell>
          <cell r="I7">
            <v>2.79622251733805</v>
          </cell>
          <cell r="J7">
            <v>17.8249963110521</v>
          </cell>
        </row>
        <row r="7">
          <cell r="P7">
            <v>0</v>
          </cell>
          <cell r="Q7">
            <v>1.8149623727313</v>
          </cell>
          <cell r="R7">
            <v>0</v>
          </cell>
        </row>
        <row r="7">
          <cell r="Z7">
            <v>43.7225806451613</v>
          </cell>
        </row>
        <row r="8">
          <cell r="C8" t="str">
            <v>Jan</v>
          </cell>
          <cell r="D8">
            <v>0</v>
          </cell>
          <cell r="E8">
            <v>37.4341334894614</v>
          </cell>
          <cell r="F8">
            <v>36.6290983606557</v>
          </cell>
          <cell r="G8">
            <v>2.68588992974239</v>
          </cell>
          <cell r="H8">
            <v>1.87353629976581</v>
          </cell>
          <cell r="I8">
            <v>1.66861826697892</v>
          </cell>
          <cell r="J8">
            <v>16.6129976580796</v>
          </cell>
        </row>
        <row r="8">
          <cell r="P8">
            <v>2.41510538641686</v>
          </cell>
          <cell r="Q8">
            <v>0.0731850117096019</v>
          </cell>
          <cell r="R8">
            <v>0.607435597189696</v>
          </cell>
        </row>
        <row r="8">
          <cell r="Z8">
            <v>44.0774193548387</v>
          </cell>
        </row>
        <row r="9">
          <cell r="C9" t="str">
            <v>Feb</v>
          </cell>
          <cell r="D9">
            <v>0</v>
          </cell>
          <cell r="E9">
            <v>41.2247080844995</v>
          </cell>
          <cell r="F9">
            <v>44.1126660130136</v>
          </cell>
          <cell r="G9">
            <v>7.57643283715126</v>
          </cell>
          <cell r="H9">
            <v>1.03396024601123</v>
          </cell>
          <cell r="I9">
            <v>0</v>
          </cell>
          <cell r="J9">
            <v>2.80773687494429</v>
          </cell>
        </row>
        <row r="9">
          <cell r="P9">
            <v>1.06961404759782</v>
          </cell>
          <cell r="Q9">
            <v>0</v>
          </cell>
          <cell r="R9">
            <v>2.17488189678224</v>
          </cell>
        </row>
        <row r="9">
          <cell r="Z9">
            <v>40.0678571428571</v>
          </cell>
        </row>
        <row r="10">
          <cell r="C10" t="str">
            <v>Mrz</v>
          </cell>
          <cell r="D10">
            <v>0</v>
          </cell>
          <cell r="E10">
            <v>37.6518218623482</v>
          </cell>
          <cell r="F10">
            <v>46.5955097534045</v>
          </cell>
          <cell r="G10">
            <v>5.45454545454546</v>
          </cell>
          <cell r="H10">
            <v>2.62053735737946</v>
          </cell>
          <cell r="I10">
            <v>0</v>
          </cell>
          <cell r="J10">
            <v>0.537357379462643</v>
          </cell>
        </row>
        <row r="10">
          <cell r="P10">
            <v>5.49871181450129</v>
          </cell>
          <cell r="Q10">
            <v>0.721383879278616</v>
          </cell>
          <cell r="R10">
            <v>0.920132499079868</v>
          </cell>
        </row>
        <row r="10">
          <cell r="Z10">
            <v>43.8225806451613</v>
          </cell>
        </row>
        <row r="11">
          <cell r="C11" t="str">
            <v>Apr</v>
          </cell>
          <cell r="D11">
            <v>0</v>
          </cell>
          <cell r="E11">
            <v>37.8729915837796</v>
          </cell>
          <cell r="F11">
            <v>42.7773527161438</v>
          </cell>
          <cell r="G11">
            <v>4.15455241009946</v>
          </cell>
          <cell r="H11">
            <v>1.77505738332058</v>
          </cell>
          <cell r="I11">
            <v>0</v>
          </cell>
          <cell r="J11">
            <v>3.96327467482785</v>
          </cell>
        </row>
        <row r="11">
          <cell r="P11">
            <v>6.06732976281561</v>
          </cell>
          <cell r="Q11">
            <v>1.5990818668707</v>
          </cell>
          <cell r="R11">
            <v>1.79035960214231</v>
          </cell>
        </row>
        <row r="11">
          <cell r="Z11">
            <v>43.5666666666667</v>
          </cell>
        </row>
        <row r="12">
          <cell r="C12" t="str">
            <v>Mai</v>
          </cell>
          <cell r="D12">
            <v>0</v>
          </cell>
          <cell r="E12">
            <v>38.1887412274153</v>
          </cell>
          <cell r="F12">
            <v>39.7118112587726</v>
          </cell>
          <cell r="G12">
            <v>3.18799462445871</v>
          </cell>
          <cell r="H12">
            <v>0.462893833059579</v>
          </cell>
          <cell r="I12">
            <v>3.23279080185157</v>
          </cell>
          <cell r="J12">
            <v>9.39973122293564</v>
          </cell>
        </row>
        <row r="12">
          <cell r="P12">
            <v>4.6588024488577</v>
          </cell>
          <cell r="Q12">
            <v>0.223980886964312</v>
          </cell>
          <cell r="R12">
            <v>0.933253695684635</v>
          </cell>
        </row>
        <row r="12">
          <cell r="Z12">
            <v>43.2064516129032</v>
          </cell>
        </row>
        <row r="13">
          <cell r="C13" t="str">
            <v>Jun</v>
          </cell>
          <cell r="D13">
            <v>0</v>
          </cell>
          <cell r="E13">
            <v>39.198606271777</v>
          </cell>
          <cell r="F13">
            <v>39.6183085207475</v>
          </cell>
          <cell r="G13">
            <v>4.26037377256889</v>
          </cell>
          <cell r="H13">
            <v>0</v>
          </cell>
          <cell r="I13">
            <v>0</v>
          </cell>
          <cell r="J13">
            <v>8.66328793158061</v>
          </cell>
        </row>
        <row r="13">
          <cell r="P13">
            <v>6.59645232815965</v>
          </cell>
          <cell r="Q13">
            <v>0</v>
          </cell>
          <cell r="R13">
            <v>1.6629711751663</v>
          </cell>
        </row>
        <row r="13">
          <cell r="Z13">
            <v>42.0933333333333</v>
          </cell>
        </row>
        <row r="14">
          <cell r="C14" t="str">
            <v>Jul</v>
          </cell>
          <cell r="D14">
            <v>0</v>
          </cell>
          <cell r="E14">
            <v>43.179132196522</v>
          </cell>
          <cell r="F14">
            <v>49.2149248691541</v>
          </cell>
          <cell r="G14">
            <v>0</v>
          </cell>
          <cell r="H14">
            <v>0</v>
          </cell>
          <cell r="I14">
            <v>0</v>
          </cell>
          <cell r="J14">
            <v>6.82930947155158</v>
          </cell>
        </row>
        <row r="14">
          <cell r="P14">
            <v>0.776633462772244</v>
          </cell>
          <cell r="Q14">
            <v>0</v>
          </cell>
          <cell r="R14">
            <v>0</v>
          </cell>
        </row>
        <row r="14">
          <cell r="Z14">
            <v>38.2129032258065</v>
          </cell>
        </row>
        <row r="15">
          <cell r="C15" t="str">
            <v>Aug</v>
          </cell>
          <cell r="D15">
            <v>0</v>
          </cell>
          <cell r="E15">
            <v>43.6172934254285</v>
          </cell>
          <cell r="F15">
            <v>49.8592990534664</v>
          </cell>
          <cell r="G15">
            <v>0</v>
          </cell>
          <cell r="H15">
            <v>0</v>
          </cell>
          <cell r="I15">
            <v>0.631022426878145</v>
          </cell>
          <cell r="J15">
            <v>5.892385094227</v>
          </cell>
        </row>
        <row r="15">
          <cell r="P15">
            <v>0</v>
          </cell>
          <cell r="Q15">
            <v>0</v>
          </cell>
          <cell r="R15">
            <v>0</v>
          </cell>
        </row>
        <row r="15">
          <cell r="Z15">
            <v>37.8290322580645</v>
          </cell>
        </row>
        <row r="49">
          <cell r="C49" t="str">
            <v>Sep</v>
          </cell>
        </row>
        <row r="50">
          <cell r="C50" t="str">
            <v>Okt</v>
          </cell>
        </row>
        <row r="51">
          <cell r="C51" t="str">
            <v>Nov</v>
          </cell>
        </row>
        <row r="52">
          <cell r="C52" t="str">
            <v>Dez</v>
          </cell>
        </row>
        <row r="53">
          <cell r="C53" t="str">
            <v>Jan</v>
          </cell>
        </row>
        <row r="54">
          <cell r="C54" t="str">
            <v>Feb</v>
          </cell>
        </row>
        <row r="55">
          <cell r="C55" t="str">
            <v>Mrz</v>
          </cell>
        </row>
        <row r="56">
          <cell r="C56" t="str">
            <v>Apr</v>
          </cell>
        </row>
        <row r="57">
          <cell r="C57" t="str">
            <v>Mai</v>
          </cell>
        </row>
        <row r="58">
          <cell r="C58" t="str">
            <v>Jun</v>
          </cell>
        </row>
        <row r="59">
          <cell r="C59" t="str">
            <v>Jul</v>
          </cell>
        </row>
        <row r="60">
          <cell r="C60" t="str">
            <v>Aug</v>
          </cell>
        </row>
      </sheetData>
      <sheetData sheetId="19"/>
      <sheetData sheetId="20"/>
      <sheetData sheetId="2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BGA 56_Diagramme"/>
    </sheetNames>
    <sheetDataSet>
      <sheetData sheetId="0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BGA 57_Diagramme"/>
    </sheetNames>
    <sheetDataSet>
      <sheetData sheetId="0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G2" t="str">
            <v>Getreide und Getreidekorn</v>
          </cell>
        </row>
        <row r="2">
          <cell r="Q2" t="str">
            <v>Weizenkleie</v>
          </cell>
        </row>
        <row r="4">
          <cell r="G4">
            <v>0.747863247863248</v>
          </cell>
        </row>
        <row r="4">
          <cell r="Q4">
            <v>0</v>
          </cell>
        </row>
        <row r="5">
          <cell r="G5">
            <v>0.452488687782805</v>
          </cell>
        </row>
        <row r="5">
          <cell r="Q5">
            <v>0</v>
          </cell>
        </row>
        <row r="6">
          <cell r="G6">
            <v>0.875341930441579</v>
          </cell>
        </row>
        <row r="6">
          <cell r="Q6">
            <v>0</v>
          </cell>
        </row>
        <row r="7">
          <cell r="G7">
            <v>0.779376498800959</v>
          </cell>
        </row>
        <row r="7">
          <cell r="Q7">
            <v>0</v>
          </cell>
        </row>
        <row r="8">
          <cell r="G8">
            <v>0.998003992015968</v>
          </cell>
        </row>
        <row r="8">
          <cell r="Q8">
            <v>0</v>
          </cell>
        </row>
        <row r="9">
          <cell r="G9">
            <v>0.822720613095909</v>
          </cell>
        </row>
        <row r="9">
          <cell r="Q9">
            <v>0</v>
          </cell>
        </row>
        <row r="10">
          <cell r="G10">
            <v>1.55555555555556</v>
          </cell>
        </row>
        <row r="10">
          <cell r="Q10">
            <v>0</v>
          </cell>
        </row>
        <row r="11">
          <cell r="G11">
            <v>0.96830985915493</v>
          </cell>
        </row>
        <row r="11">
          <cell r="Q11">
            <v>0</v>
          </cell>
        </row>
        <row r="12">
          <cell r="G12">
            <v>2.330743618202</v>
          </cell>
        </row>
        <row r="12">
          <cell r="Q12">
            <v>0</v>
          </cell>
        </row>
        <row r="13">
          <cell r="G13">
            <v>1.97176786914631</v>
          </cell>
        </row>
        <row r="13">
          <cell r="Q13">
            <v>0</v>
          </cell>
        </row>
        <row r="14">
          <cell r="G14">
            <v>1.68954593453009</v>
          </cell>
        </row>
        <row r="14">
          <cell r="Q14">
            <v>0</v>
          </cell>
        </row>
        <row r="15">
          <cell r="G15">
            <v>0.662251655629139</v>
          </cell>
        </row>
        <row r="15">
          <cell r="Q15">
            <v>0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Rechnung"/>
      <sheetName val="Pivot BTB Anlage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Hühnertrockenkot</v>
          </cell>
        </row>
        <row r="2">
          <cell r="G2" t="str">
            <v>Maiskornsilage</v>
          </cell>
        </row>
        <row r="2">
          <cell r="I2" t="str">
            <v>Grassilage</v>
          </cell>
        </row>
        <row r="4">
          <cell r="C4" t="str">
            <v>Sep</v>
          </cell>
          <cell r="D4">
            <v>1.90114068441065</v>
          </cell>
          <cell r="E4">
            <v>1.15335868187579</v>
          </cell>
          <cell r="F4">
            <v>83.0038022813688</v>
          </cell>
          <cell r="G4">
            <v>0</v>
          </cell>
        </row>
        <row r="4">
          <cell r="I4">
            <v>0</v>
          </cell>
          <cell r="J4">
            <v>13.9416983523447</v>
          </cell>
        </row>
        <row r="4">
          <cell r="Z4">
            <v>26.3</v>
          </cell>
        </row>
        <row r="5">
          <cell r="C5" t="str">
            <v>Okt</v>
          </cell>
          <cell r="D5">
            <v>1.25426449929761</v>
          </cell>
          <cell r="E5">
            <v>3.31125827814569</v>
          </cell>
          <cell r="F5">
            <v>78.2861729881597</v>
          </cell>
          <cell r="G5">
            <v>4.01364639775236</v>
          </cell>
        </row>
        <row r="5">
          <cell r="I5">
            <v>3.4115994380895</v>
          </cell>
          <cell r="J5">
            <v>9.72305839855509</v>
          </cell>
        </row>
        <row r="5">
          <cell r="Z5">
            <v>32.1483870967742</v>
          </cell>
        </row>
        <row r="6">
          <cell r="C6" t="str">
            <v>Nov</v>
          </cell>
          <cell r="D6">
            <v>0.229384103681615</v>
          </cell>
          <cell r="E6">
            <v>4.47299002179149</v>
          </cell>
          <cell r="F6">
            <v>78.0938180984058</v>
          </cell>
          <cell r="G6">
            <v>10.3222846656727</v>
          </cell>
        </row>
        <row r="6">
          <cell r="I6">
            <v>6.88152311044845</v>
          </cell>
          <cell r="J6">
            <v>0</v>
          </cell>
        </row>
        <row r="6">
          <cell r="Z6">
            <v>29.0633333333333</v>
          </cell>
        </row>
        <row r="7">
          <cell r="C7" t="str">
            <v>Dez</v>
          </cell>
          <cell r="D7">
            <v>1.71195051910758</v>
          </cell>
          <cell r="E7">
            <v>4.16390545615197</v>
          </cell>
          <cell r="F7">
            <v>84.7360282747957</v>
          </cell>
          <cell r="G7">
            <v>8.28363154406892</v>
          </cell>
        </row>
        <row r="7">
          <cell r="I7">
            <v>1.10448420587586</v>
          </cell>
          <cell r="J7">
            <v>0</v>
          </cell>
        </row>
        <row r="7">
          <cell r="Z7">
            <v>29.2064516129032</v>
          </cell>
        </row>
        <row r="8">
          <cell r="C8" t="str">
            <v>Jan</v>
          </cell>
          <cell r="D8">
            <v>2.03727283250376</v>
          </cell>
          <cell r="E8">
            <v>3.46104873249219</v>
          </cell>
          <cell r="F8">
            <v>88.0194466952193</v>
          </cell>
          <cell r="G8">
            <v>6.4822317397847</v>
          </cell>
        </row>
        <row r="8">
          <cell r="I8">
            <v>0</v>
          </cell>
          <cell r="J8">
            <v>0</v>
          </cell>
        </row>
        <row r="8">
          <cell r="Z8">
            <v>27.8677419354839</v>
          </cell>
        </row>
        <row r="9">
          <cell r="C9" t="str">
            <v>Feb</v>
          </cell>
          <cell r="D9">
            <v>3.5725677830941</v>
          </cell>
          <cell r="E9">
            <v>1.79691653375864</v>
          </cell>
          <cell r="F9">
            <v>73.2589048378522</v>
          </cell>
          <cell r="G9">
            <v>5.12493354598618</v>
          </cell>
        </row>
        <row r="9">
          <cell r="I9">
            <v>0</v>
          </cell>
          <cell r="J9">
            <v>16.2466772993089</v>
          </cell>
        </row>
        <row r="9">
          <cell r="Z9">
            <v>33.5892857142857</v>
          </cell>
        </row>
        <row r="10">
          <cell r="C10" t="str">
            <v>Mrz</v>
          </cell>
          <cell r="D10">
            <v>3.31698617922425</v>
          </cell>
          <cell r="E10">
            <v>0</v>
          </cell>
          <cell r="F10">
            <v>67.6593847525635</v>
          </cell>
          <cell r="G10">
            <v>4.14623272403032</v>
          </cell>
        </row>
        <row r="10">
          <cell r="I10">
            <v>0</v>
          </cell>
          <cell r="J10">
            <v>24.8773963441819</v>
          </cell>
        </row>
        <row r="10">
          <cell r="Z10">
            <v>36.1774193548387</v>
          </cell>
        </row>
        <row r="11">
          <cell r="C11" t="str">
            <v>Apr</v>
          </cell>
          <cell r="D11">
            <v>3.4020034020034</v>
          </cell>
          <cell r="E11">
            <v>3.68550368550369</v>
          </cell>
          <cell r="F11">
            <v>67.3974673974674</v>
          </cell>
          <cell r="G11">
            <v>0</v>
          </cell>
        </row>
        <row r="11">
          <cell r="I11">
            <v>0</v>
          </cell>
          <cell r="J11">
            <v>25.5150255150255</v>
          </cell>
        </row>
        <row r="11">
          <cell r="Z11">
            <v>35.2733333333333</v>
          </cell>
        </row>
        <row r="12">
          <cell r="C12" t="str">
            <v>Mai</v>
          </cell>
          <cell r="D12">
            <v>3.6098981077147</v>
          </cell>
          <cell r="E12">
            <v>3.91072295002426</v>
          </cell>
          <cell r="F12">
            <v>65.4051431344008</v>
          </cell>
          <cell r="G12">
            <v>0</v>
          </cell>
        </row>
        <row r="12">
          <cell r="I12">
            <v>0</v>
          </cell>
          <cell r="J12">
            <v>27.0742358078603</v>
          </cell>
        </row>
        <row r="12">
          <cell r="Z12">
            <v>33.241935483871</v>
          </cell>
        </row>
        <row r="13">
          <cell r="C13" t="str">
            <v>Jun</v>
          </cell>
          <cell r="D13">
            <v>3.6979969183359</v>
          </cell>
          <cell r="E13">
            <v>4.00616332819723</v>
          </cell>
          <cell r="F13">
            <v>64.7149460708783</v>
          </cell>
          <cell r="G13">
            <v>0</v>
          </cell>
        </row>
        <row r="13">
          <cell r="I13">
            <v>0</v>
          </cell>
          <cell r="J13">
            <v>27.5808936825886</v>
          </cell>
        </row>
        <row r="13">
          <cell r="Z13">
            <v>32.45</v>
          </cell>
        </row>
        <row r="14">
          <cell r="C14" t="str">
            <v>Jul</v>
          </cell>
          <cell r="D14">
            <v>4.08297662166612</v>
          </cell>
          <cell r="E14">
            <v>4.42322467347163</v>
          </cell>
          <cell r="F14">
            <v>68.9935243112721</v>
          </cell>
          <cell r="G14">
            <v>0</v>
          </cell>
        </row>
        <row r="14">
          <cell r="I14">
            <v>0</v>
          </cell>
          <cell r="J14">
            <v>22.5002743935902</v>
          </cell>
        </row>
        <row r="14">
          <cell r="Z14">
            <v>29.3903225806452</v>
          </cell>
        </row>
        <row r="15">
          <cell r="C15" t="str">
            <v>Aug</v>
          </cell>
          <cell r="D15">
            <v>6.59457542988832</v>
          </cell>
          <cell r="E15">
            <v>5.0700230455593</v>
          </cell>
          <cell r="F15">
            <v>75.2171600780004</v>
          </cell>
          <cell r="G15">
            <v>0</v>
          </cell>
        </row>
        <row r="15">
          <cell r="I15">
            <v>0</v>
          </cell>
          <cell r="J15">
            <v>13.118241446552</v>
          </cell>
        </row>
        <row r="15">
          <cell r="Z15">
            <v>18.1967741935484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BGA 58_Diagramme"/>
    </sheetNames>
    <sheetDataSet>
      <sheetData sheetId="0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Substrat"/>
      <sheetName val="Pivot BTB Sonstige Aggregate"/>
      <sheetName val="Abfrage Labordaten"/>
      <sheetName val="Rechnung"/>
      <sheetName val="Pivot BTB Anlage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E2" t="str">
            <v>Schweinegülle</v>
          </cell>
        </row>
        <row r="4">
          <cell r="C4" t="str">
            <v>Sep</v>
          </cell>
        </row>
        <row r="4">
          <cell r="E4">
            <v>82.1917808219178</v>
          </cell>
          <cell r="F4">
            <v>13.6986301369863</v>
          </cell>
          <cell r="G4">
            <v>2.05479452054794</v>
          </cell>
        </row>
        <row r="4">
          <cell r="J4">
            <v>2.05479452054794</v>
          </cell>
        </row>
        <row r="4">
          <cell r="Z4">
            <v>14.6</v>
          </cell>
        </row>
        <row r="5">
          <cell r="C5" t="str">
            <v>Okt</v>
          </cell>
        </row>
        <row r="5">
          <cell r="E5">
            <v>82.1917808219178</v>
          </cell>
          <cell r="F5">
            <v>8.90410958904109</v>
          </cell>
          <cell r="G5">
            <v>6.84931506849315</v>
          </cell>
        </row>
        <row r="5">
          <cell r="J5">
            <v>2.05479452054795</v>
          </cell>
        </row>
        <row r="5">
          <cell r="Z5">
            <v>14.6</v>
          </cell>
        </row>
        <row r="6">
          <cell r="C6" t="str">
            <v>Nov</v>
          </cell>
        </row>
        <row r="6">
          <cell r="E6">
            <v>81.6326530612245</v>
          </cell>
          <cell r="F6">
            <v>13.6054421768707</v>
          </cell>
          <cell r="G6">
            <v>2.72108843537415</v>
          </cell>
        </row>
        <row r="6">
          <cell r="J6">
            <v>2.04081632653061</v>
          </cell>
        </row>
        <row r="6">
          <cell r="Z6">
            <v>14.7</v>
          </cell>
        </row>
        <row r="7">
          <cell r="C7" t="str">
            <v>Dez</v>
          </cell>
        </row>
        <row r="7">
          <cell r="E7">
            <v>84.0677966101695</v>
          </cell>
          <cell r="F7">
            <v>12.8587570621469</v>
          </cell>
          <cell r="G7">
            <v>2.3954802259887</v>
          </cell>
        </row>
        <row r="7">
          <cell r="J7">
            <v>0.677966101694915</v>
          </cell>
        </row>
        <row r="7">
          <cell r="Z7">
            <v>14.2741935483871</v>
          </cell>
        </row>
        <row r="8">
          <cell r="C8" t="str">
            <v>Jan</v>
          </cell>
        </row>
        <row r="8">
          <cell r="E8">
            <v>81.0810810810811</v>
          </cell>
          <cell r="F8">
            <v>13.5135135135135</v>
          </cell>
          <cell r="G8">
            <v>2.7027027027027</v>
          </cell>
        </row>
        <row r="8">
          <cell r="J8">
            <v>2.7027027027027</v>
          </cell>
        </row>
        <row r="8">
          <cell r="Z8">
            <v>14.8</v>
          </cell>
        </row>
        <row r="9">
          <cell r="C9" t="str">
            <v>Feb</v>
          </cell>
        </row>
        <row r="9">
          <cell r="E9">
            <v>81.0810810810811</v>
          </cell>
          <cell r="F9">
            <v>13.5135135135135</v>
          </cell>
          <cell r="G9">
            <v>2.7027027027027</v>
          </cell>
        </row>
        <row r="9">
          <cell r="J9">
            <v>2.7027027027027</v>
          </cell>
        </row>
        <row r="9">
          <cell r="Z9">
            <v>14.8</v>
          </cell>
        </row>
        <row r="10">
          <cell r="C10" t="str">
            <v>Mrz</v>
          </cell>
        </row>
        <row r="10">
          <cell r="E10">
            <v>84.1487279843444</v>
          </cell>
          <cell r="F10">
            <v>12.133072407045</v>
          </cell>
          <cell r="G10">
            <v>1.29158512720157</v>
          </cell>
        </row>
        <row r="10">
          <cell r="J10">
            <v>2.426614481409</v>
          </cell>
        </row>
        <row r="10">
          <cell r="Z10">
            <v>16.4838709677419</v>
          </cell>
        </row>
        <row r="11">
          <cell r="C11" t="str">
            <v>Apr</v>
          </cell>
        </row>
        <row r="11">
          <cell r="E11">
            <v>89.6296296296296</v>
          </cell>
          <cell r="F11">
            <v>8.88888888888889</v>
          </cell>
          <cell r="G11">
            <v>1.18518518518519</v>
          </cell>
        </row>
        <row r="11">
          <cell r="J11">
            <v>0.296296296296296</v>
          </cell>
        </row>
        <row r="11">
          <cell r="Z11">
            <v>22.5</v>
          </cell>
        </row>
        <row r="12">
          <cell r="C12" t="str">
            <v>Mai</v>
          </cell>
        </row>
        <row r="12">
          <cell r="E12">
            <v>92.5925925925926</v>
          </cell>
          <cell r="F12">
            <v>7.40740740740741</v>
          </cell>
          <cell r="G12">
            <v>0</v>
          </cell>
        </row>
        <row r="12">
          <cell r="J12">
            <v>0</v>
          </cell>
        </row>
        <row r="12">
          <cell r="Z12">
            <v>27</v>
          </cell>
        </row>
        <row r="13">
          <cell r="C13" t="str">
            <v>Jun</v>
          </cell>
        </row>
        <row r="13">
          <cell r="E13">
            <v>92.2055569215638</v>
          </cell>
          <cell r="F13">
            <v>5.99950823702975</v>
          </cell>
          <cell r="G13">
            <v>0.319645930661421</v>
          </cell>
        </row>
        <row r="13">
          <cell r="J13">
            <v>1.47528891074502</v>
          </cell>
        </row>
        <row r="13">
          <cell r="Z13">
            <v>27.1133333333333</v>
          </cell>
        </row>
        <row r="14">
          <cell r="C14" t="str">
            <v>Jul</v>
          </cell>
        </row>
        <row r="14">
          <cell r="E14">
            <v>91.3473737630043</v>
          </cell>
          <cell r="F14">
            <v>3.93301192590713</v>
          </cell>
          <cell r="G14">
            <v>0.786602385181426</v>
          </cell>
        </row>
        <row r="14">
          <cell r="J14">
            <v>3.93301192590713</v>
          </cell>
        </row>
        <row r="14">
          <cell r="Z14">
            <v>25.4258064516129</v>
          </cell>
        </row>
        <row r="15">
          <cell r="C15" t="str">
            <v>Aug</v>
          </cell>
        </row>
        <row r="15">
          <cell r="E15">
            <v>89.0564826700898</v>
          </cell>
          <cell r="F15">
            <v>6.12965340179718</v>
          </cell>
          <cell r="G15">
            <v>0.802310654685494</v>
          </cell>
        </row>
        <row r="15">
          <cell r="J15">
            <v>4.01155327342747</v>
          </cell>
        </row>
        <row r="15">
          <cell r="Z15">
            <v>20.1032258064516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BGA 59_Diagramme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BGA 60_Diagramme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Abfrage BTB Substrat"/>
      <sheetName val="Abfrage Ersterfassung Anlage"/>
      <sheetName val="Abfrage Ersterfassung BHKW"/>
      <sheetName val="Abfrage Ersterfassung Behälter"/>
      <sheetName val="Abfrage BTB Anlage"/>
      <sheetName val="Abfrage BTB BHKW"/>
      <sheetName val="Abfrage BTB Sonstige Aggregate"/>
      <sheetName val="Abfrage BTB Behälter"/>
      <sheetName val="Pivot BTB Behälter"/>
      <sheetName val="Pivot Labordaten"/>
      <sheetName val="Pivot Ersterfassung BHKW"/>
      <sheetName val="Pivot Ersterfassung Behälter"/>
      <sheetName val="Pivot BTB BHKW"/>
      <sheetName val="Pivot Ersterfassung Anlage"/>
      <sheetName val="Pivot BTB Anlage"/>
      <sheetName val="Pivot BTB Substrat"/>
      <sheetName val="Pivot BTB Sonstige Aggregate"/>
      <sheetName val="Abfrage Labordaten"/>
      <sheetName val="Rechnung"/>
      <sheetName val="Datenblatt neu"/>
      <sheetName val="Validierung"/>
      <sheetName val="Diagramm Kapitel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Rindermist</v>
          </cell>
          <cell r="E2" t="str">
            <v>Rindergülle</v>
          </cell>
          <cell r="F2" t="str">
            <v>Mais-Ganzpflanzensilage</v>
          </cell>
          <cell r="G2" t="str">
            <v>Hafer Getreide und Getreidekorn</v>
          </cell>
          <cell r="H2" t="str">
            <v>Zuckerrüben</v>
          </cell>
          <cell r="I2" t="str">
            <v>Grassilage</v>
          </cell>
        </row>
        <row r="2">
          <cell r="P2" t="str">
            <v>Putenmist</v>
          </cell>
          <cell r="Q2" t="str">
            <v>Weizenkleie</v>
          </cell>
        </row>
        <row r="4">
          <cell r="C4" t="str">
            <v>Sep</v>
          </cell>
          <cell r="D4">
            <v>0</v>
          </cell>
          <cell r="E4">
            <v>7.48143108803949</v>
          </cell>
          <cell r="F4">
            <v>55.5111413471763</v>
          </cell>
          <cell r="G4">
            <v>0</v>
          </cell>
          <cell r="H4">
            <v>0</v>
          </cell>
          <cell r="I4">
            <v>13.8777853367941</v>
          </cell>
          <cell r="J4">
            <v>23.1296422279901</v>
          </cell>
        </row>
        <row r="4">
          <cell r="P4">
            <v>0</v>
          </cell>
          <cell r="Q4">
            <v>0</v>
          </cell>
        </row>
        <row r="4">
          <cell r="Z4">
            <v>66.8321333333333</v>
          </cell>
        </row>
        <row r="5">
          <cell r="C5" t="str">
            <v>Okt</v>
          </cell>
          <cell r="D5">
            <v>0</v>
          </cell>
          <cell r="E5">
            <v>4.44609156998091</v>
          </cell>
          <cell r="F5">
            <v>57.3323450580114</v>
          </cell>
          <cell r="G5">
            <v>0</v>
          </cell>
          <cell r="H5">
            <v>0</v>
          </cell>
          <cell r="I5">
            <v>14.3330862645029</v>
          </cell>
          <cell r="J5">
            <v>23.8884771075048</v>
          </cell>
        </row>
        <row r="5">
          <cell r="P5">
            <v>0</v>
          </cell>
          <cell r="Q5">
            <v>0</v>
          </cell>
        </row>
        <row r="5">
          <cell r="Z5">
            <v>112.458322580645</v>
          </cell>
        </row>
        <row r="6">
          <cell r="C6" t="str">
            <v>Nov</v>
          </cell>
          <cell r="D6">
            <v>0</v>
          </cell>
          <cell r="E6">
            <v>4.66843818334264</v>
          </cell>
          <cell r="F6">
            <v>57.1989370899944</v>
          </cell>
          <cell r="G6">
            <v>0</v>
          </cell>
          <cell r="H6">
            <v>0</v>
          </cell>
          <cell r="I6">
            <v>14.2997342724986</v>
          </cell>
          <cell r="J6">
            <v>23.8328904541643</v>
          </cell>
        </row>
        <row r="6">
          <cell r="P6">
            <v>0</v>
          </cell>
          <cell r="Q6">
            <v>0</v>
          </cell>
        </row>
        <row r="6">
          <cell r="Z6">
            <v>107.1022</v>
          </cell>
        </row>
        <row r="7">
          <cell r="C7" t="str">
            <v>Dez</v>
          </cell>
          <cell r="D7">
            <v>0</v>
          </cell>
          <cell r="E7">
            <v>4.44821602144098</v>
          </cell>
          <cell r="F7">
            <v>57.3310703871354</v>
          </cell>
          <cell r="G7">
            <v>0</v>
          </cell>
          <cell r="H7">
            <v>0</v>
          </cell>
          <cell r="I7">
            <v>14.3327675967839</v>
          </cell>
          <cell r="J7">
            <v>23.8879459946398</v>
          </cell>
        </row>
        <row r="7">
          <cell r="P7">
            <v>0</v>
          </cell>
          <cell r="Q7">
            <v>0</v>
          </cell>
        </row>
        <row r="7">
          <cell r="Z7">
            <v>112.404612903226</v>
          </cell>
        </row>
        <row r="8">
          <cell r="C8" t="str">
            <v>Jan</v>
          </cell>
          <cell r="D8">
            <v>0</v>
          </cell>
          <cell r="E8">
            <v>4.62816432073477</v>
          </cell>
          <cell r="F8">
            <v>57.2231014075591</v>
          </cell>
          <cell r="G8">
            <v>0</v>
          </cell>
          <cell r="H8">
            <v>0</v>
          </cell>
          <cell r="I8">
            <v>14.3057753518898</v>
          </cell>
          <cell r="J8">
            <v>23.8429589198163</v>
          </cell>
        </row>
        <row r="8">
          <cell r="P8">
            <v>0</v>
          </cell>
          <cell r="Q8">
            <v>0</v>
          </cell>
        </row>
        <row r="8">
          <cell r="Z8">
            <v>108.034193548387</v>
          </cell>
        </row>
        <row r="9">
          <cell r="C9" t="str">
            <v>Feb</v>
          </cell>
          <cell r="D9">
            <v>0</v>
          </cell>
          <cell r="E9">
            <v>4.8611178626637</v>
          </cell>
          <cell r="F9">
            <v>57.2477548579929</v>
          </cell>
          <cell r="G9">
            <v>0</v>
          </cell>
          <cell r="H9">
            <v>0</v>
          </cell>
          <cell r="I9">
            <v>14.1064067450094</v>
          </cell>
          <cell r="J9">
            <v>23.7847205343341</v>
          </cell>
        </row>
        <row r="9">
          <cell r="P9">
            <v>0</v>
          </cell>
          <cell r="Q9">
            <v>0</v>
          </cell>
        </row>
        <row r="9">
          <cell r="Z9">
            <v>102.857</v>
          </cell>
        </row>
        <row r="10">
          <cell r="C10" t="str">
            <v>Mrz</v>
          </cell>
          <cell r="D10">
            <v>0</v>
          </cell>
          <cell r="E10">
            <v>4.88630513683073</v>
          </cell>
          <cell r="F10">
            <v>57.0682169179016</v>
          </cell>
          <cell r="G10">
            <v>0</v>
          </cell>
          <cell r="H10">
            <v>0</v>
          </cell>
          <cell r="I10">
            <v>14.2670542294754</v>
          </cell>
          <cell r="J10">
            <v>23.7784237157923</v>
          </cell>
        </row>
        <row r="10">
          <cell r="P10">
            <v>0</v>
          </cell>
          <cell r="Q10">
            <v>0</v>
          </cell>
        </row>
        <row r="10">
          <cell r="Z10">
            <v>102.326806451613</v>
          </cell>
        </row>
        <row r="11">
          <cell r="C11" t="str">
            <v>Apr</v>
          </cell>
          <cell r="D11">
            <v>0</v>
          </cell>
          <cell r="E11">
            <v>5.56674884425016</v>
          </cell>
          <cell r="F11">
            <v>56.6599506934499</v>
          </cell>
          <cell r="G11">
            <v>0</v>
          </cell>
          <cell r="H11">
            <v>0</v>
          </cell>
          <cell r="I11">
            <v>14.1649876733625</v>
          </cell>
          <cell r="J11">
            <v>23.6083127889375</v>
          </cell>
        </row>
        <row r="11">
          <cell r="P11">
            <v>0</v>
          </cell>
          <cell r="Q11">
            <v>0</v>
          </cell>
        </row>
        <row r="11">
          <cell r="Z11">
            <v>89.8190333333334</v>
          </cell>
        </row>
        <row r="12">
          <cell r="C12" t="str">
            <v>Mai</v>
          </cell>
          <cell r="D12">
            <v>0</v>
          </cell>
          <cell r="E12">
            <v>6.00694635525623</v>
          </cell>
          <cell r="F12">
            <v>56.3958321868462</v>
          </cell>
          <cell r="G12">
            <v>0</v>
          </cell>
          <cell r="H12">
            <v>0</v>
          </cell>
          <cell r="I12">
            <v>14.0989580467116</v>
          </cell>
          <cell r="J12">
            <v>23.4982634111859</v>
          </cell>
        </row>
        <row r="12">
          <cell r="P12">
            <v>0</v>
          </cell>
          <cell r="Q12">
            <v>0</v>
          </cell>
        </row>
        <row r="12">
          <cell r="Z12">
            <v>83.2369677419355</v>
          </cell>
        </row>
        <row r="13">
          <cell r="C13" t="str">
            <v>Jun</v>
          </cell>
          <cell r="D13">
            <v>0</v>
          </cell>
          <cell r="E13">
            <v>4.94584464970066</v>
          </cell>
          <cell r="F13">
            <v>57.0324932101796</v>
          </cell>
          <cell r="G13">
            <v>0</v>
          </cell>
          <cell r="H13">
            <v>0</v>
          </cell>
          <cell r="I13">
            <v>14.2581233025449</v>
          </cell>
          <cell r="J13">
            <v>23.7635388375748</v>
          </cell>
        </row>
        <row r="13">
          <cell r="P13">
            <v>0</v>
          </cell>
          <cell r="Q13">
            <v>0</v>
          </cell>
        </row>
        <row r="13">
          <cell r="Z13">
            <v>101.094966666667</v>
          </cell>
        </row>
        <row r="14">
          <cell r="C14" t="str">
            <v>Jul</v>
          </cell>
          <cell r="D14">
            <v>0</v>
          </cell>
          <cell r="E14">
            <v>5.10388211151884</v>
          </cell>
          <cell r="F14">
            <v>56.9376707330887</v>
          </cell>
          <cell r="G14">
            <v>0</v>
          </cell>
          <cell r="H14">
            <v>0</v>
          </cell>
          <cell r="I14">
            <v>14.2344176832722</v>
          </cell>
          <cell r="J14">
            <v>23.7240294721203</v>
          </cell>
        </row>
        <row r="14">
          <cell r="P14">
            <v>0</v>
          </cell>
          <cell r="Q14">
            <v>0</v>
          </cell>
        </row>
        <row r="14">
          <cell r="Z14">
            <v>97.9646451612903</v>
          </cell>
        </row>
        <row r="15">
          <cell r="C15" t="str">
            <v>Aug</v>
          </cell>
          <cell r="D15">
            <v>0</v>
          </cell>
          <cell r="E15">
            <v>5.03526144864147</v>
          </cell>
          <cell r="F15">
            <v>56.9788431308151</v>
          </cell>
          <cell r="G15">
            <v>0</v>
          </cell>
          <cell r="H15">
            <v>0</v>
          </cell>
          <cell r="I15">
            <v>14.2447107827038</v>
          </cell>
          <cell r="J15">
            <v>23.7411846378396</v>
          </cell>
        </row>
        <row r="15">
          <cell r="P15">
            <v>0</v>
          </cell>
          <cell r="Q15">
            <v>0</v>
          </cell>
        </row>
        <row r="15">
          <cell r="Z15">
            <v>99.2997096774193</v>
          </cell>
        </row>
        <row r="25">
          <cell r="E25" t="str">
            <v>Fermenter 1</v>
          </cell>
          <cell r="F25" t="str">
            <v>Fermenter 3</v>
          </cell>
        </row>
        <row r="28">
          <cell r="E28">
            <v>0.270564299474739</v>
          </cell>
          <cell r="F28">
            <v>0.257679754706287</v>
          </cell>
        </row>
        <row r="29">
          <cell r="E29">
            <v>0.259214668516008</v>
          </cell>
          <cell r="F29">
            <v>0.214967120013002</v>
          </cell>
        </row>
        <row r="30">
          <cell r="E30">
            <v>0.295183313871854</v>
          </cell>
          <cell r="F30">
            <v>0.237921594010686</v>
          </cell>
        </row>
        <row r="31">
          <cell r="E31">
            <v>0.257658574889126</v>
          </cell>
          <cell r="F31">
            <v>0.205850909357863</v>
          </cell>
        </row>
        <row r="32">
          <cell r="E32">
            <v>0.263677615444312</v>
          </cell>
          <cell r="F32">
            <v>0.23300639265503</v>
          </cell>
        </row>
        <row r="33">
          <cell r="E33">
            <v>0.25604599924053</v>
          </cell>
          <cell r="F33">
            <v>0.276941112786088</v>
          </cell>
        </row>
        <row r="34">
          <cell r="E34">
            <v>0.249979567504861</v>
          </cell>
          <cell r="F34">
            <v>0.214514853912859</v>
          </cell>
        </row>
        <row r="35">
          <cell r="E35">
            <v>0.237529289651609</v>
          </cell>
          <cell r="F35">
            <v>0.215250039268906</v>
          </cell>
        </row>
        <row r="36">
          <cell r="E36">
            <v>0.233076837544223</v>
          </cell>
          <cell r="F36">
            <v>0.233334827375463</v>
          </cell>
        </row>
        <row r="37">
          <cell r="E37">
            <v>0.3713382398767</v>
          </cell>
          <cell r="F37">
            <v>0.247636756564102</v>
          </cell>
        </row>
        <row r="38">
          <cell r="E38">
            <v>0.388687166268928</v>
          </cell>
          <cell r="F38">
            <v>0.33178358034383</v>
          </cell>
        </row>
        <row r="39">
          <cell r="E39">
            <v>0.364711626516032</v>
          </cell>
          <cell r="F39">
            <v>0.307044373526718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BGA 61_Diagramm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5.xml"/><Relationship Id="rId1" Type="http://schemas.openxmlformats.org/officeDocument/2006/relationships/comments" Target="../comments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T61"/>
  <sheetViews>
    <sheetView tabSelected="1" zoomScale="133" zoomScaleNormal="133" workbookViewId="0">
      <pane xSplit="2" ySplit="3" topLeftCell="Q4" activePane="bottomRight" state="frozen"/>
      <selection/>
      <selection pane="topRight"/>
      <selection pane="bottomLeft"/>
      <selection pane="bottomRight" activeCell="S21" sqref="S2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5.1634615384615" style="156" customWidth="1"/>
    <col min="11" max="11" width="11.5" style="156"/>
    <col min="12" max="12" width="14" style="156" customWidth="1"/>
    <col min="13" max="13" width="7.16346153846154" style="157" customWidth="1"/>
    <col min="14" max="14" width="10.6634615384615" style="157" customWidth="1"/>
    <col min="15" max="15" width="1.5" style="157" customWidth="1"/>
    <col min="16" max="16" width="11.5" style="157" customWidth="1"/>
    <col min="17" max="17" width="1.5" style="157" customWidth="1"/>
    <col min="18" max="18" width="6" style="156" customWidth="1"/>
    <col min="19" max="19" width="24" style="156" customWidth="1"/>
    <col min="20" max="20" width="12.8365384615385" style="156" customWidth="1"/>
    <col min="21" max="21" width="4.66346153846154" style="156" customWidth="1"/>
    <col min="22" max="22" width="23.1634615384615" style="156" customWidth="1"/>
    <col min="23" max="23" width="12.8365384615385" style="156" customWidth="1"/>
    <col min="24" max="24" width="4.16346153846154" style="156" customWidth="1"/>
    <col min="25" max="25" width="23.1634615384615" style="156" customWidth="1"/>
    <col min="26" max="26" width="19.6634615384615" style="156" customWidth="1"/>
    <col min="27" max="28" width="7.83653846153846" style="156" customWidth="1"/>
    <col min="29" max="29" width="8" style="156" customWidth="1"/>
    <col min="30" max="31" width="9.16346153846154" style="156" customWidth="1"/>
    <col min="32" max="32" width="16" style="156" customWidth="1"/>
    <col min="33" max="33" width="14.5" style="156" customWidth="1"/>
    <col min="34" max="34" width="14.8365384615385" style="156" customWidth="1"/>
    <col min="35" max="35" width="16.3365384615385" style="156" customWidth="1"/>
    <col min="36" max="36" width="3.66346153846154" style="156" customWidth="1"/>
    <col min="37" max="38" width="19.5" style="156" customWidth="1"/>
    <col min="39" max="39" width="21.3365384615385" style="156" customWidth="1"/>
    <col min="40" max="40" width="11.6634615384615" style="156" customWidth="1"/>
    <col min="41" max="41" width="7.66346153846154" style="156" customWidth="1"/>
    <col min="42" max="42" width="7.5" style="156" customWidth="1"/>
    <col min="43" max="43" width="13.5" style="156" customWidth="1"/>
    <col min="44" max="44" width="13.3365384615385" style="156" customWidth="1"/>
    <col min="45" max="45" width="12.6634615384615" style="156" customWidth="1"/>
    <col min="46" max="46" width="11.6634615384615" style="156" customWidth="1"/>
    <col min="47" max="16384" width="11.5" style="156"/>
  </cols>
  <sheetData>
    <row r="1" ht="21.75" customHeight="1" spans="2:15"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60"/>
      <c r="O1" s="160"/>
    </row>
    <row r="2" ht="25.5" customHeight="1" spans="1:13">
      <c r="A2" s="157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3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5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6" t="s">
        <v>7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8</v>
      </c>
      <c r="C7" s="56" t="s">
        <v>9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10</v>
      </c>
      <c r="C8" s="56" t="s">
        <v>11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27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  <c r="AA9" s="156" t="s">
        <v>14</v>
      </c>
    </row>
    <row r="10" ht="15" customHeight="1" spans="1:27">
      <c r="A10" s="157"/>
      <c r="B10" s="60" t="s">
        <v>15</v>
      </c>
      <c r="C10" s="56" t="s">
        <v>16</v>
      </c>
      <c r="D10" s="56"/>
      <c r="E10" s="56"/>
      <c r="F10" s="56"/>
      <c r="G10" s="56"/>
      <c r="H10" s="56"/>
      <c r="I10" s="56"/>
      <c r="J10" s="56"/>
      <c r="K10" s="56"/>
      <c r="L10" s="114"/>
      <c r="AA10" s="156" t="s">
        <v>17</v>
      </c>
    </row>
    <row r="11" ht="15" customHeight="1" spans="1:27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  <c r="AA11" s="156" t="s">
        <v>18</v>
      </c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21</v>
      </c>
      <c r="C13" s="64"/>
      <c r="D13" s="229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46">
      <c r="A14" s="157"/>
      <c r="B14" s="66" t="s">
        <v>26</v>
      </c>
      <c r="C14" s="64"/>
      <c r="D14" s="70">
        <v>1</v>
      </c>
      <c r="E14" s="68">
        <v>1</v>
      </c>
      <c r="F14" s="68"/>
      <c r="G14" s="68"/>
      <c r="H14" s="64"/>
      <c r="I14" s="57" t="s">
        <v>27</v>
      </c>
      <c r="J14" s="64"/>
      <c r="K14" s="119">
        <v>13488.4761475313</v>
      </c>
      <c r="L14" s="120" t="s">
        <v>28</v>
      </c>
      <c r="M14" s="178"/>
      <c r="R14" s="870" t="s">
        <v>29</v>
      </c>
      <c r="S14" s="870" t="s">
        <v>30</v>
      </c>
      <c r="T14" s="870" t="s">
        <v>31</v>
      </c>
      <c r="U14" s="870" t="s">
        <v>32</v>
      </c>
      <c r="V14" s="870" t="s">
        <v>33</v>
      </c>
      <c r="W14" s="870" t="s">
        <v>31</v>
      </c>
      <c r="X14" s="870" t="s">
        <v>32</v>
      </c>
      <c r="Y14" s="870" t="s">
        <v>34</v>
      </c>
      <c r="Z14" s="870" t="s">
        <v>35</v>
      </c>
      <c r="AA14" s="870" t="s">
        <v>36</v>
      </c>
      <c r="AB14" s="870" t="s">
        <v>37</v>
      </c>
      <c r="AC14" s="870" t="s">
        <v>38</v>
      </c>
      <c r="AD14" s="870" t="s">
        <v>39</v>
      </c>
      <c r="AE14" s="870" t="s">
        <v>40</v>
      </c>
      <c r="AF14" s="870" t="s">
        <v>41</v>
      </c>
      <c r="AG14" s="870" t="s">
        <v>42</v>
      </c>
      <c r="AH14" s="870" t="s">
        <v>43</v>
      </c>
      <c r="AI14" s="870" t="s">
        <v>44</v>
      </c>
      <c r="AJ14" s="870" t="s">
        <v>32</v>
      </c>
      <c r="AK14" s="870" t="s">
        <v>45</v>
      </c>
      <c r="AL14" s="870" t="s">
        <v>46</v>
      </c>
      <c r="AM14" s="870" t="s">
        <v>47</v>
      </c>
      <c r="AN14" s="870" t="str">
        <f>B34</f>
        <v>FOS/TAC</v>
      </c>
      <c r="AO14" s="870" t="s">
        <v>48</v>
      </c>
      <c r="AP14" s="870" t="s">
        <v>49</v>
      </c>
      <c r="AQ14" s="870" t="s">
        <v>50</v>
      </c>
      <c r="AR14" s="870" t="s">
        <v>51</v>
      </c>
      <c r="AS14" s="870" t="s">
        <v>52</v>
      </c>
      <c r="AT14" s="870" t="s">
        <v>53</v>
      </c>
    </row>
    <row r="15" ht="15" customHeight="1" spans="1:46">
      <c r="A15" s="157"/>
      <c r="B15" s="66" t="s">
        <v>54</v>
      </c>
      <c r="C15" s="64" t="s">
        <v>55</v>
      </c>
      <c r="D15" s="71">
        <v>2500</v>
      </c>
      <c r="E15" s="69">
        <v>2500</v>
      </c>
      <c r="F15" s="69"/>
      <c r="G15" s="69"/>
      <c r="H15" s="98">
        <v>5000</v>
      </c>
      <c r="I15" s="57" t="s">
        <v>27</v>
      </c>
      <c r="J15" s="64"/>
      <c r="K15" s="121">
        <v>36.9547291713186</v>
      </c>
      <c r="L15" s="120" t="s">
        <v>56</v>
      </c>
      <c r="M15" s="178"/>
      <c r="R15" s="870" t="s">
        <v>0</v>
      </c>
      <c r="S15" s="871">
        <f>H15</f>
        <v>5000</v>
      </c>
      <c r="T15" s="871">
        <f>D30</f>
        <v>43</v>
      </c>
      <c r="U15" s="873">
        <f>D29</f>
        <v>7.83770833333333</v>
      </c>
      <c r="V15" s="871">
        <f>H16</f>
        <v>4600</v>
      </c>
      <c r="W15" s="871">
        <f>E30</f>
        <v>41</v>
      </c>
      <c r="X15" s="873">
        <f>E29</f>
        <v>7.83</v>
      </c>
      <c r="Y15" s="871">
        <f>K30</f>
        <v>2500</v>
      </c>
      <c r="Z15" s="871">
        <f>H18+K32</f>
        <v>2400</v>
      </c>
      <c r="AA15" s="870" t="s">
        <v>14</v>
      </c>
      <c r="AB15" s="870" t="str">
        <f>C7</f>
        <v>NawaRo</v>
      </c>
      <c r="AC15" s="871">
        <f>K14</f>
        <v>13488.4761475313</v>
      </c>
      <c r="AD15" s="874">
        <f>K24</f>
        <v>33.210876874861</v>
      </c>
      <c r="AE15" s="874">
        <f>K25</f>
        <v>96.6002223946993</v>
      </c>
      <c r="AF15" s="874">
        <f>D21</f>
        <v>9.30269795283401</v>
      </c>
      <c r="AG15" s="874">
        <f>D22</f>
        <v>81.4251469223661</v>
      </c>
      <c r="AH15" s="874">
        <f>H23</f>
        <v>2.57733375053249</v>
      </c>
      <c r="AI15" s="872">
        <f>H24</f>
        <v>124.476625946163</v>
      </c>
      <c r="AJ15" s="874">
        <f>D29</f>
        <v>7.83770833333333</v>
      </c>
      <c r="AK15" s="874">
        <f>D31</f>
        <v>2.27083333333333</v>
      </c>
      <c r="AL15" s="874">
        <f>D32</f>
        <v>5.08333333333333</v>
      </c>
      <c r="AM15" s="872">
        <f>D33</f>
        <v>140</v>
      </c>
      <c r="AN15" s="875">
        <f>D34</f>
        <v>0.157727272727273</v>
      </c>
      <c r="AO15" s="875">
        <f>D43</f>
        <v>800</v>
      </c>
      <c r="AP15" s="875">
        <f>D48</f>
        <v>8505</v>
      </c>
      <c r="AQ15" s="876">
        <f>K46*K14</f>
        <v>3381385</v>
      </c>
      <c r="AR15" s="876">
        <f>L40</f>
        <v>50.6</v>
      </c>
      <c r="AS15" s="876">
        <f>'BGA 01_Economy'!J3</f>
        <v>6493000</v>
      </c>
      <c r="AT15" s="871">
        <f>I55+I56</f>
        <v>4344077</v>
      </c>
    </row>
    <row r="16" ht="15" customHeight="1" spans="1:46">
      <c r="A16" s="157"/>
      <c r="B16" s="66" t="s">
        <v>57</v>
      </c>
      <c r="C16" s="64" t="s">
        <v>55</v>
      </c>
      <c r="D16" s="71">
        <v>2300</v>
      </c>
      <c r="E16" s="69">
        <v>2300</v>
      </c>
      <c r="F16" s="69"/>
      <c r="G16" s="69"/>
      <c r="H16" s="98">
        <v>4600</v>
      </c>
      <c r="I16" s="56" t="s">
        <v>58</v>
      </c>
      <c r="J16" s="56"/>
      <c r="K16" s="122">
        <v>81.9647814851455</v>
      </c>
      <c r="L16" s="123" t="s">
        <v>59</v>
      </c>
      <c r="M16" s="178"/>
      <c r="R16" s="870" t="s">
        <v>60</v>
      </c>
      <c r="S16" s="871">
        <f>'BGA 02_data sheet'!H15</f>
        <v>5000</v>
      </c>
      <c r="T16" s="872">
        <f>'BGA 02_data sheet'!D30</f>
        <v>44.8</v>
      </c>
      <c r="U16" s="870">
        <f>'BGA 02_data sheet'!D29</f>
        <v>7.89097222222222</v>
      </c>
      <c r="V16" s="871">
        <f>'BGA 02_data sheet'!H16</f>
        <v>4600</v>
      </c>
      <c r="W16" s="872">
        <f>'BGA 02_data sheet'!E30</f>
        <v>42</v>
      </c>
      <c r="X16" s="870">
        <f>'BGA 02_data sheet'!E29</f>
        <v>7.93</v>
      </c>
      <c r="Y16" s="871">
        <f>'BGA 02_data sheet'!K30</f>
        <v>2500</v>
      </c>
      <c r="Z16" s="871">
        <f>'BGA 02_data sheet'!H18+'BGA 02_data sheet'!K32</f>
        <v>2400</v>
      </c>
      <c r="AA16" s="870" t="s">
        <v>14</v>
      </c>
      <c r="AB16" s="870" t="str">
        <f>'BGA 02_data sheet'!C7</f>
        <v>NawaRo</v>
      </c>
      <c r="AC16" s="871">
        <f>'BGA 02_data sheet'!K14</f>
        <v>12205.9264258415</v>
      </c>
      <c r="AD16" s="875">
        <f>'BGA 02_data sheet'!K24</f>
        <v>33.218535636552</v>
      </c>
      <c r="AE16" s="875">
        <f>'BGA 02_data sheet'!K25</f>
        <v>96.5815559466432</v>
      </c>
      <c r="AF16" s="875">
        <f>'BGA 02_data sheet'!D21</f>
        <v>9.28337888669817</v>
      </c>
      <c r="AG16" s="875">
        <f>'BGA 02_data sheet'!D22</f>
        <v>82.1016130457204</v>
      </c>
      <c r="AH16" s="875">
        <f>'BGA 02_data sheet'!H23</f>
        <v>2.33235542629595</v>
      </c>
      <c r="AI16" s="875">
        <f>'BGA 02_data sheet'!H24</f>
        <v>137.556129819474</v>
      </c>
      <c r="AJ16" s="870">
        <f>'BGA 02_data sheet'!D29</f>
        <v>7.89097222222222</v>
      </c>
      <c r="AK16" s="874">
        <f>D31</f>
        <v>2.27083333333333</v>
      </c>
      <c r="AL16" s="874">
        <f>D32</f>
        <v>5.08333333333333</v>
      </c>
      <c r="AM16" s="872">
        <f>'BGA 02_data sheet'!D33</f>
        <v>145</v>
      </c>
      <c r="AN16" s="875">
        <f>'BGA 02_data sheet'!D34</f>
        <v>0.168787878787879</v>
      </c>
      <c r="AO16" s="872">
        <f>'BGA 02_data sheet'!D43</f>
        <v>800</v>
      </c>
      <c r="AP16" s="872">
        <f>'BGA 02_data sheet'!D48</f>
        <v>7675</v>
      </c>
      <c r="AQ16" s="876">
        <f>'BGA 02_data sheet'!K46*'BGA 02_data sheet'!K14</f>
        <v>2979076</v>
      </c>
      <c r="AR16" s="876">
        <f>'BGA 02_data sheet'!L40</f>
        <v>52.1394520547945</v>
      </c>
      <c r="AS16" s="870">
        <f>'BGA 02_Economy'!J3</f>
        <v>5956286</v>
      </c>
      <c r="AT16" s="871">
        <f>'BGA 02_data sheet'!I55+'BGA 02_data sheet'!I56</f>
        <v>4524874</v>
      </c>
    </row>
    <row r="17" ht="15" customHeight="1" spans="1:46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/>
      <c r="G17" s="70"/>
      <c r="H17" s="98"/>
      <c r="I17" s="56" t="s">
        <v>64</v>
      </c>
      <c r="J17" s="56"/>
      <c r="K17" s="124">
        <v>2.18761663144065</v>
      </c>
      <c r="L17" s="123" t="s">
        <v>59</v>
      </c>
      <c r="M17" s="178"/>
      <c r="R17" s="870" t="s">
        <v>65</v>
      </c>
      <c r="S17" s="871">
        <f>'BGA 03_data sheet'!H15</f>
        <v>3300</v>
      </c>
      <c r="T17" s="872" t="str">
        <f>'BGA 03_data sheet'!D30</f>
        <v>35 - 43</v>
      </c>
      <c r="U17" s="870">
        <f>'BGA 03_data sheet'!D29</f>
        <v>7.74055555555556</v>
      </c>
      <c r="V17" s="871"/>
      <c r="W17" s="870"/>
      <c r="X17" s="870"/>
      <c r="Y17" s="871">
        <f>'BGA 03_data sheet'!K31</f>
        <v>4000</v>
      </c>
      <c r="Z17" s="871">
        <f>'BGA 03_data sheet'!H18</f>
        <v>1100</v>
      </c>
      <c r="AA17" s="870" t="s">
        <v>14</v>
      </c>
      <c r="AB17" s="870" t="str">
        <f>'BGA 03_data sheet'!C7</f>
        <v>NawaRo, farm fertilizer</v>
      </c>
      <c r="AC17" s="871">
        <f>'BGA 03_data sheet'!K14</f>
        <v>14095.1</v>
      </c>
      <c r="AD17" s="875">
        <f>'BGA 03_data sheet'!K24</f>
        <v>19.5530079376244</v>
      </c>
      <c r="AE17" s="875">
        <f>'BGA 03_data sheet'!K25</f>
        <v>91.4249380743772</v>
      </c>
      <c r="AF17" s="875">
        <f>'BGA 03_data sheet'!D21</f>
        <v>7.39722928462061</v>
      </c>
      <c r="AG17" s="875">
        <f>'BGA 03_data sheet'!D22</f>
        <v>72.3255690346537</v>
      </c>
      <c r="AH17" s="875">
        <f>'BGA 03_data sheet'!H23</f>
        <v>2.30108305138382</v>
      </c>
      <c r="AI17" s="875">
        <f>'BGA 03_data sheet'!H24</f>
        <v>77.686571929252</v>
      </c>
      <c r="AJ17" s="870">
        <f>'BGA 03_data sheet'!D29</f>
        <v>7.74055555555556</v>
      </c>
      <c r="AK17" s="870">
        <f>'BGA 03_data sheet'!D31</f>
        <v>2.26</v>
      </c>
      <c r="AL17" s="875">
        <f>'BGA 03_data sheet'!D32</f>
        <v>4.47166666666667</v>
      </c>
      <c r="AM17" s="872">
        <f>'BGA 03_data sheet'!D33</f>
        <v>210</v>
      </c>
      <c r="AN17" s="875">
        <f>'BGA 03_data sheet'!D34</f>
        <v>0.15</v>
      </c>
      <c r="AO17" s="872">
        <f>'BGA 03_data sheet'!D43</f>
        <v>400</v>
      </c>
      <c r="AP17" s="871">
        <f>'BGA 03_data sheet'!D48</f>
        <v>8642</v>
      </c>
      <c r="AQ17" s="876">
        <f>'BGA 03_data sheet'!K46*'BGA 03_data sheet'!K14</f>
        <v>1660704</v>
      </c>
      <c r="AR17" s="875">
        <f>'BGA 03_data sheet'!L40</f>
        <v>52.0082191780822</v>
      </c>
      <c r="AS17" s="870">
        <f>'BGA 03_Economy'!J3</f>
        <v>3332435</v>
      </c>
      <c r="AT17" s="871">
        <f>'BGA 03_data sheet'!I55+'BGA 03_data sheet'!I56+'BGA 03_data sheet'!I57</f>
        <v>2184780</v>
      </c>
    </row>
    <row r="18" ht="15" customHeight="1" spans="1:13">
      <c r="A18" s="157"/>
      <c r="B18" s="57" t="s">
        <v>66</v>
      </c>
      <c r="C18" s="56" t="s">
        <v>55</v>
      </c>
      <c r="D18" s="71">
        <v>800</v>
      </c>
      <c r="E18" s="71">
        <v>800</v>
      </c>
      <c r="F18" s="71"/>
      <c r="G18" s="71"/>
      <c r="H18" s="98">
        <v>1600</v>
      </c>
      <c r="I18" s="56" t="s">
        <v>67</v>
      </c>
      <c r="J18" s="56"/>
      <c r="K18" s="124">
        <v>8.97284457311742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68</v>
      </c>
      <c r="J19" s="56"/>
      <c r="K19" s="124">
        <v>6.38619211375969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70</v>
      </c>
      <c r="J20" s="56"/>
      <c r="K20" s="124">
        <v>0.488565196536758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9.30269795283401</v>
      </c>
      <c r="E21" s="77" t="s">
        <v>72</v>
      </c>
      <c r="F21" s="77"/>
      <c r="G21" s="77"/>
      <c r="H21" s="102"/>
      <c r="I21" s="56"/>
      <c r="J21" s="56"/>
      <c r="K21" s="124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81.4251469223661</v>
      </c>
      <c r="E22" s="77" t="s">
        <v>72</v>
      </c>
      <c r="F22" s="77"/>
      <c r="G22" s="77"/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5"/>
      <c r="E23" s="77"/>
      <c r="F23" s="77"/>
      <c r="G23" s="78"/>
      <c r="H23" s="75">
        <f>K15*K24*K25/10/H16</f>
        <v>2.57733375053249</v>
      </c>
      <c r="I23" s="125" t="s">
        <v>76</v>
      </c>
      <c r="J23" s="56"/>
      <c r="K23" s="126"/>
      <c r="L23" s="123"/>
      <c r="M23" s="178"/>
      <c r="O23" s="157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77"/>
      <c r="G24" s="78"/>
      <c r="H24" s="77">
        <f>H16/K15</f>
        <v>124.476625946163</v>
      </c>
      <c r="I24" s="127" t="s">
        <v>80</v>
      </c>
      <c r="J24" s="56"/>
      <c r="K24" s="122">
        <v>33.210876874861</v>
      </c>
      <c r="L24" s="123" t="s">
        <v>59</v>
      </c>
      <c r="M24" s="178">
        <f>K14/365</f>
        <v>36.9547291713186</v>
      </c>
    </row>
    <row r="25" ht="15" customHeight="1" spans="1:14">
      <c r="A25" s="157"/>
      <c r="B25" s="57" t="s">
        <v>81</v>
      </c>
      <c r="C25" s="56" t="s">
        <v>59</v>
      </c>
      <c r="D25" s="77"/>
      <c r="E25" s="77" t="s">
        <v>72</v>
      </c>
      <c r="F25" s="77"/>
      <c r="G25" s="77"/>
      <c r="H25" s="861" t="s">
        <v>82</v>
      </c>
      <c r="I25" s="128" t="s">
        <v>83</v>
      </c>
      <c r="J25" s="56"/>
      <c r="K25" s="122">
        <v>96.6002223946993</v>
      </c>
      <c r="L25" s="123" t="s">
        <v>59</v>
      </c>
      <c r="M25" s="178"/>
      <c r="N25" s="867">
        <f>(1-(K34*K35)/(K24*K25))*100</f>
        <v>85.9979765580227</v>
      </c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862" t="s">
        <v>85</v>
      </c>
      <c r="I26" s="57" t="s">
        <v>86</v>
      </c>
      <c r="J26" s="56"/>
      <c r="K26" s="122">
        <v>81.6202890196665</v>
      </c>
      <c r="L26" s="123" t="s">
        <v>59</v>
      </c>
      <c r="N26" s="723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863" t="s">
        <v>89</v>
      </c>
      <c r="I27" s="129"/>
      <c r="J27" s="130"/>
      <c r="K27" s="131"/>
      <c r="L27" s="132"/>
      <c r="N27" s="723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863" t="s">
        <v>92</v>
      </c>
      <c r="I28" s="63" t="s">
        <v>93</v>
      </c>
      <c r="J28" s="133"/>
      <c r="K28" s="134"/>
      <c r="L28" s="120"/>
      <c r="N28" s="723"/>
    </row>
    <row r="29" ht="15" customHeight="1" spans="1:12">
      <c r="A29" s="157"/>
      <c r="B29" s="66" t="s">
        <v>32</v>
      </c>
      <c r="C29" s="56" t="s">
        <v>62</v>
      </c>
      <c r="D29" s="75">
        <v>7.83770833333333</v>
      </c>
      <c r="E29" s="75">
        <v>7.83</v>
      </c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43</v>
      </c>
      <c r="E30" s="77">
        <v>41</v>
      </c>
      <c r="F30" s="77"/>
      <c r="G30" s="77"/>
      <c r="H30" s="78"/>
      <c r="I30" s="66" t="s">
        <v>96</v>
      </c>
      <c r="J30" s="92"/>
      <c r="K30" s="135">
        <v>2500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2.27083333333333</v>
      </c>
      <c r="E31" s="75" t="s">
        <v>72</v>
      </c>
      <c r="F31" s="75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5.08333333333333</v>
      </c>
      <c r="E32" s="75" t="s">
        <v>72</v>
      </c>
      <c r="F32" s="75"/>
      <c r="G32" s="80"/>
      <c r="H32" s="78"/>
      <c r="I32" s="66" t="s">
        <v>66</v>
      </c>
      <c r="J32" s="92"/>
      <c r="K32" s="135">
        <v>800</v>
      </c>
      <c r="L32" s="120" t="s">
        <v>55</v>
      </c>
    </row>
    <row r="33" ht="15" customHeight="1" spans="1:12">
      <c r="A33" s="157"/>
      <c r="B33" s="66" t="s">
        <v>101</v>
      </c>
      <c r="C33" s="64" t="s">
        <v>102</v>
      </c>
      <c r="D33" s="77">
        <v>140</v>
      </c>
      <c r="E33" s="80" t="s">
        <v>72</v>
      </c>
      <c r="F33" s="80"/>
      <c r="G33" s="80"/>
      <c r="H33" s="78"/>
      <c r="I33" s="57" t="s">
        <v>103</v>
      </c>
      <c r="J33" s="64"/>
      <c r="K33" s="136">
        <v>2.4</v>
      </c>
      <c r="L33" s="120" t="s">
        <v>59</v>
      </c>
    </row>
    <row r="34" ht="15" customHeight="1" spans="1:12">
      <c r="A34" s="157"/>
      <c r="B34" s="66" t="s">
        <v>104</v>
      </c>
      <c r="C34" s="64" t="s">
        <v>62</v>
      </c>
      <c r="D34" s="80">
        <v>0.157727272727273</v>
      </c>
      <c r="E34" s="80" t="s">
        <v>72</v>
      </c>
      <c r="F34" s="80"/>
      <c r="G34" s="80"/>
      <c r="H34" s="78"/>
      <c r="I34" s="66" t="s">
        <v>105</v>
      </c>
      <c r="J34" s="64"/>
      <c r="K34" s="137">
        <v>5.74495764093774</v>
      </c>
      <c r="L34" s="120" t="s">
        <v>59</v>
      </c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78.1920210004773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2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60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50.6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145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705">
        <v>0.193</v>
      </c>
    </row>
    <row r="43" ht="15" customHeight="1" spans="1:12">
      <c r="A43" s="157"/>
      <c r="B43" s="66" t="s">
        <v>121</v>
      </c>
      <c r="C43" s="64" t="s">
        <v>122</v>
      </c>
      <c r="D43" s="77">
        <v>800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5</v>
      </c>
    </row>
    <row r="44" ht="15" customHeight="1" spans="1:17">
      <c r="A44" s="157"/>
      <c r="B44" s="66" t="s">
        <v>125</v>
      </c>
      <c r="C44" s="64" t="s">
        <v>122</v>
      </c>
      <c r="D44" s="77">
        <v>840</v>
      </c>
      <c r="E44" s="77"/>
      <c r="F44" s="77"/>
      <c r="G44" s="78"/>
      <c r="H44" s="102"/>
      <c r="I44" s="148" t="s">
        <v>126</v>
      </c>
      <c r="J44" s="64"/>
      <c r="K44" s="134"/>
      <c r="L44" s="120"/>
      <c r="Q44" s="157" t="s">
        <v>77</v>
      </c>
    </row>
    <row r="45" ht="15" customHeight="1" spans="1:24">
      <c r="A45" s="157"/>
      <c r="B45" s="66" t="s">
        <v>127</v>
      </c>
      <c r="C45" s="64" t="s">
        <v>59</v>
      </c>
      <c r="D45" s="78">
        <v>41.7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  <c r="T45" s="182"/>
      <c r="U45" s="182"/>
      <c r="X45" s="182"/>
    </row>
    <row r="46" ht="15" customHeight="1" spans="1:14">
      <c r="A46" s="157"/>
      <c r="B46" s="66" t="s">
        <v>130</v>
      </c>
      <c r="C46" s="64" t="s">
        <v>59</v>
      </c>
      <c r="D46" s="78">
        <v>43.8</v>
      </c>
      <c r="E46" s="78"/>
      <c r="F46" s="78"/>
      <c r="G46" s="78"/>
      <c r="H46" s="102"/>
      <c r="I46" s="66"/>
      <c r="J46" s="64" t="s">
        <v>131</v>
      </c>
      <c r="K46" s="861">
        <v>250.686954035121</v>
      </c>
      <c r="L46" s="865">
        <v>126.923526137572</v>
      </c>
      <c r="M46" s="180">
        <f>K46*K14</f>
        <v>3381385</v>
      </c>
      <c r="N46" s="157">
        <f>K46*L40/100</f>
        <v>126.847598741771</v>
      </c>
    </row>
    <row r="47" ht="15" customHeight="1" spans="1:14">
      <c r="A47" s="157"/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861">
        <v>812.98824494922</v>
      </c>
      <c r="L47" s="865">
        <v>411.618287654869</v>
      </c>
      <c r="M47" s="868">
        <f>K46/K24/K25*100*100</f>
        <v>781.399744164892</v>
      </c>
      <c r="N47" s="157">
        <f>K47*L40/100</f>
        <v>411.372051944306</v>
      </c>
    </row>
    <row r="48" ht="15" customHeight="1" spans="1:13">
      <c r="A48" s="157"/>
      <c r="B48" s="66" t="s">
        <v>135</v>
      </c>
      <c r="C48" s="64" t="s">
        <v>136</v>
      </c>
      <c r="D48" s="69">
        <v>8505</v>
      </c>
      <c r="E48" s="864"/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3">
      <c r="A49" s="157"/>
      <c r="B49" s="57" t="s">
        <v>138</v>
      </c>
      <c r="C49" s="64" t="s">
        <v>136</v>
      </c>
      <c r="D49" s="69">
        <v>8171.1125</v>
      </c>
      <c r="E49" s="69"/>
      <c r="F49" s="78"/>
      <c r="G49" s="69"/>
      <c r="H49" s="98"/>
      <c r="I49" s="66"/>
      <c r="J49" s="64" t="s">
        <v>139</v>
      </c>
      <c r="K49" s="150">
        <v>17746.8328767123</v>
      </c>
      <c r="L49" s="231"/>
      <c r="M49" s="869">
        <f>('BGA 01_Economy'!J3+C55)/365</f>
        <v>18759.3260273973</v>
      </c>
    </row>
    <row r="50" ht="15" customHeight="1" spans="1:25">
      <c r="A50" s="157"/>
      <c r="B50" s="57" t="s">
        <v>140</v>
      </c>
      <c r="C50" s="64" t="s">
        <v>59</v>
      </c>
      <c r="D50" s="80">
        <f>D49/(24*365)</f>
        <v>0.932775399543379</v>
      </c>
      <c r="E50" s="78"/>
      <c r="F50" s="78"/>
      <c r="G50" s="78"/>
      <c r="H50" s="102"/>
      <c r="I50" s="66"/>
      <c r="J50" s="64" t="s">
        <v>141</v>
      </c>
      <c r="K50" s="150">
        <v>480.231712548608</v>
      </c>
      <c r="L50" s="120"/>
      <c r="M50" s="868">
        <f>('BGA 01_Economy'!J3+C55)/K14</f>
        <v>507.629914981403</v>
      </c>
      <c r="N50" s="723"/>
      <c r="R50" s="182"/>
      <c r="S50" s="182"/>
      <c r="T50" s="182"/>
      <c r="U50" s="182"/>
      <c r="V50" s="182"/>
      <c r="W50" s="182"/>
      <c r="X50" s="182"/>
      <c r="Y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723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723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7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354154</v>
      </c>
      <c r="D55" s="857">
        <v>5.46736952022618</v>
      </c>
      <c r="E55" s="111" t="s">
        <v>147</v>
      </c>
      <c r="F55" s="64"/>
      <c r="G55" s="64" t="s">
        <v>148</v>
      </c>
      <c r="H55" s="64"/>
      <c r="I55" s="69">
        <v>442206</v>
      </c>
      <c r="J55" s="866">
        <v>6.44264430682743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150</v>
      </c>
      <c r="H56" s="64"/>
      <c r="I56" s="69">
        <v>3901871</v>
      </c>
      <c r="J56" s="866">
        <v>56.8476388473359</v>
      </c>
      <c r="K56" s="111" t="s">
        <v>149</v>
      </c>
      <c r="L56" s="114"/>
    </row>
    <row r="57" ht="15" customHeight="1" spans="1:12">
      <c r="A57" s="157"/>
      <c r="B57" s="81"/>
      <c r="C57" s="94"/>
      <c r="D57" s="858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859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860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1">
    <mergeCell ref="B2:L2"/>
  </mergeCells>
  <dataValidations count="2">
    <dataValidation type="list" allowBlank="1" showInputMessage="1" showErrorMessage="1" sqref="AA15">
      <formula1>$AA$9:$AA$13</formula1>
    </dataValidation>
    <dataValidation type="list" allowBlank="1" showInputMessage="1" showErrorMessage="1" sqref="A1">
      <formula1>$AB$7:$AB$14</formula1>
    </dataValidation>
  </dataValidation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J67"/>
  <sheetViews>
    <sheetView topLeftCell="A38" workbookViewId="0">
      <selection activeCell="N19" sqref="N19"/>
    </sheetView>
  </sheetViews>
  <sheetFormatPr defaultColWidth="11.5" defaultRowHeight="16.8"/>
  <cols>
    <col min="1" max="1" width="3.5" customWidth="1"/>
    <col min="2" max="2" width="6.83653846153846" customWidth="1"/>
    <col min="3" max="3" width="6.33653846153846" customWidth="1"/>
    <col min="4" max="5" width="11.6634615384615" customWidth="1"/>
    <col min="6" max="6" width="18.8365384615385" customWidth="1"/>
    <col min="7" max="7" width="20.3365384615385" customWidth="1"/>
    <col min="8" max="8" width="9.5" customWidth="1"/>
    <col min="9" max="9" width="12.1634615384615" customWidth="1"/>
    <col min="10" max="10" width="12.5" customWidth="1"/>
    <col min="11" max="15" width="12.8365384615385" customWidth="1"/>
    <col min="16" max="16" width="12.1634615384615" customWidth="1"/>
    <col min="17" max="17" width="9.66346153846154" customWidth="1"/>
    <col min="18" max="18" width="18" customWidth="1"/>
    <col min="19" max="19" width="21.1634615384615" customWidth="1"/>
    <col min="20" max="20" width="22.5" customWidth="1"/>
    <col min="21" max="21" width="12.8365384615385" customWidth="1"/>
    <col min="26" max="26" width="5.83653846153846" customWidth="1"/>
    <col min="28" max="28" width="13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s="850" customFormat="1" ht="15" customHeight="1" spans="1:34">
      <c r="A2" s="851"/>
      <c r="B2" s="850" t="s">
        <v>154</v>
      </c>
      <c r="C2" s="850" t="s">
        <v>154</v>
      </c>
      <c r="D2" s="850" t="s">
        <v>155</v>
      </c>
      <c r="E2" s="850" t="s">
        <v>155</v>
      </c>
      <c r="F2" s="850" t="s">
        <v>58</v>
      </c>
      <c r="G2" s="850" t="s">
        <v>156</v>
      </c>
      <c r="H2" s="850" t="s">
        <v>68</v>
      </c>
      <c r="I2" s="850" t="s">
        <v>157</v>
      </c>
      <c r="J2" s="850" t="s">
        <v>158</v>
      </c>
      <c r="K2" s="850" t="s">
        <v>159</v>
      </c>
      <c r="L2" s="850" t="s">
        <v>159</v>
      </c>
      <c r="M2" s="850" t="s">
        <v>159</v>
      </c>
      <c r="N2" s="850" t="s">
        <v>159</v>
      </c>
      <c r="O2" s="850" t="s">
        <v>159</v>
      </c>
      <c r="P2" s="850" t="s">
        <v>160</v>
      </c>
      <c r="Q2" s="850" t="s">
        <v>161</v>
      </c>
      <c r="R2" s="850" t="s">
        <v>67</v>
      </c>
      <c r="S2" s="850" t="s">
        <v>162</v>
      </c>
      <c r="T2" s="850" t="s">
        <v>163</v>
      </c>
      <c r="U2" s="850" t="s">
        <v>159</v>
      </c>
      <c r="Z2" s="852" t="s">
        <v>164</v>
      </c>
      <c r="AB2" s="850" t="s">
        <v>165</v>
      </c>
      <c r="AC2" s="855"/>
      <c r="AD2" s="855"/>
      <c r="AH2" s="856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Z3" s="853"/>
      <c r="AH3" s="694"/>
    </row>
    <row r="4" ht="15" customHeight="1" spans="1:35">
      <c r="A4" s="673"/>
      <c r="B4" s="222">
        <v>42644</v>
      </c>
      <c r="C4" s="219" t="s">
        <v>166</v>
      </c>
      <c r="D4" s="674">
        <v>0</v>
      </c>
      <c r="E4" s="674">
        <v>0</v>
      </c>
      <c r="F4" s="674">
        <v>46.7297552062089</v>
      </c>
      <c r="G4" s="674">
        <v>0</v>
      </c>
      <c r="H4" s="674">
        <v>9.88464247387941</v>
      </c>
      <c r="I4" s="674">
        <v>0</v>
      </c>
      <c r="J4" s="674">
        <v>0</v>
      </c>
      <c r="K4" s="674">
        <v>0</v>
      </c>
      <c r="L4" s="674">
        <v>0</v>
      </c>
      <c r="M4" s="674">
        <v>0</v>
      </c>
      <c r="N4" s="674">
        <v>0</v>
      </c>
      <c r="O4" s="674">
        <v>0</v>
      </c>
      <c r="P4" s="674">
        <v>0</v>
      </c>
      <c r="Q4" s="674">
        <v>0</v>
      </c>
      <c r="R4" s="674">
        <v>25.4669827929644</v>
      </c>
      <c r="S4" s="674">
        <v>17.9186195269472</v>
      </c>
      <c r="T4" s="674">
        <v>0</v>
      </c>
      <c r="U4" s="674">
        <v>0</v>
      </c>
      <c r="Y4" s="219"/>
      <c r="Z4" s="854">
        <v>37.3665349744023</v>
      </c>
      <c r="AA4" s="203"/>
      <c r="AB4" s="203">
        <f>SUM(D4:O4)</f>
        <v>56.6143976800884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42675</v>
      </c>
      <c r="C5" s="219" t="s">
        <v>167</v>
      </c>
      <c r="D5" s="203">
        <v>0</v>
      </c>
      <c r="E5" s="203">
        <v>0</v>
      </c>
      <c r="F5" s="203">
        <v>65.6013688795082</v>
      </c>
      <c r="G5" s="203">
        <v>0</v>
      </c>
      <c r="H5" s="203">
        <v>9.43433936385527</v>
      </c>
      <c r="I5" s="203">
        <v>0</v>
      </c>
      <c r="J5" s="203">
        <v>0</v>
      </c>
      <c r="K5" s="203">
        <v>0</v>
      </c>
      <c r="L5" s="203">
        <v>0</v>
      </c>
      <c r="M5" s="203">
        <v>0</v>
      </c>
      <c r="N5" s="203">
        <v>0</v>
      </c>
      <c r="O5" s="203">
        <v>0</v>
      </c>
      <c r="P5" s="203">
        <v>0</v>
      </c>
      <c r="Q5" s="203">
        <v>0</v>
      </c>
      <c r="R5" s="203">
        <v>17.4311470910647</v>
      </c>
      <c r="S5" s="203">
        <v>7.5331446655718</v>
      </c>
      <c r="T5" s="203">
        <v>0</v>
      </c>
      <c r="U5" s="203">
        <v>0</v>
      </c>
      <c r="Y5" s="219"/>
      <c r="Z5" s="854">
        <v>38.7237854441609</v>
      </c>
      <c r="AA5" s="203"/>
      <c r="AB5" s="203">
        <f t="shared" ref="AB5:AB15" si="0">SUM(D5:O5)</f>
        <v>75.0357082433635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42705</v>
      </c>
      <c r="C6" s="219" t="s">
        <v>168</v>
      </c>
      <c r="D6" s="203">
        <v>0</v>
      </c>
      <c r="E6" s="203">
        <v>0</v>
      </c>
      <c r="F6" s="203">
        <v>73.2641083521445</v>
      </c>
      <c r="G6" s="203">
        <v>0</v>
      </c>
      <c r="H6" s="203">
        <v>10.6907449209932</v>
      </c>
      <c r="I6" s="203">
        <v>0</v>
      </c>
      <c r="J6" s="203">
        <v>0</v>
      </c>
      <c r="K6" s="203">
        <v>0</v>
      </c>
      <c r="L6" s="203">
        <v>0</v>
      </c>
      <c r="M6" s="203">
        <v>0</v>
      </c>
      <c r="N6" s="203">
        <v>0</v>
      </c>
      <c r="O6" s="203">
        <v>0</v>
      </c>
      <c r="P6" s="203">
        <v>0</v>
      </c>
      <c r="Q6" s="203">
        <v>0</v>
      </c>
      <c r="R6" s="203">
        <v>16.0451467268623</v>
      </c>
      <c r="S6" s="203">
        <v>0</v>
      </c>
      <c r="T6" s="203">
        <v>0</v>
      </c>
      <c r="U6" s="203">
        <v>0</v>
      </c>
      <c r="Y6" s="219"/>
      <c r="Z6" s="854">
        <v>35.7258064516129</v>
      </c>
      <c r="AA6" s="203"/>
      <c r="AB6" s="203">
        <f t="shared" si="0"/>
        <v>83.9548532731377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42736</v>
      </c>
      <c r="C7" s="219" t="s">
        <v>169</v>
      </c>
      <c r="D7" s="203">
        <v>0</v>
      </c>
      <c r="E7" s="203">
        <v>0</v>
      </c>
      <c r="F7" s="203">
        <v>74.9916163648558</v>
      </c>
      <c r="G7" s="203">
        <v>0</v>
      </c>
      <c r="H7" s="203">
        <v>9.46512407780013</v>
      </c>
      <c r="I7" s="203">
        <v>0</v>
      </c>
      <c r="J7" s="203">
        <v>0</v>
      </c>
      <c r="K7" s="203">
        <v>0</v>
      </c>
      <c r="L7" s="203">
        <v>0</v>
      </c>
      <c r="M7" s="203">
        <v>0</v>
      </c>
      <c r="N7" s="203">
        <v>0</v>
      </c>
      <c r="O7" s="203">
        <v>0</v>
      </c>
      <c r="P7" s="203">
        <v>0</v>
      </c>
      <c r="Q7" s="203">
        <v>0</v>
      </c>
      <c r="R7" s="203">
        <v>15.5432595573441</v>
      </c>
      <c r="S7" s="203">
        <v>0</v>
      </c>
      <c r="T7" s="203">
        <v>0</v>
      </c>
      <c r="U7" s="203">
        <v>0</v>
      </c>
      <c r="Y7" s="219"/>
      <c r="Z7" s="854">
        <v>38.4774193548387</v>
      </c>
      <c r="AA7" s="203"/>
      <c r="AB7" s="203">
        <f t="shared" si="0"/>
        <v>84.4567404426559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42767</v>
      </c>
      <c r="C8" s="219" t="s">
        <v>170</v>
      </c>
      <c r="D8" s="203">
        <v>0</v>
      </c>
      <c r="E8" s="203">
        <v>0</v>
      </c>
      <c r="F8" s="203">
        <v>76.3762938536228</v>
      </c>
      <c r="G8" s="203">
        <v>0</v>
      </c>
      <c r="H8" s="203">
        <v>11.8530731886049</v>
      </c>
      <c r="I8" s="203">
        <v>0</v>
      </c>
      <c r="J8" s="203">
        <v>0</v>
      </c>
      <c r="K8" s="203">
        <v>0</v>
      </c>
      <c r="L8" s="203">
        <v>0</v>
      </c>
      <c r="M8" s="203">
        <v>0</v>
      </c>
      <c r="N8" s="203">
        <v>0</v>
      </c>
      <c r="O8" s="203">
        <v>0</v>
      </c>
      <c r="P8" s="203">
        <v>0</v>
      </c>
      <c r="Q8" s="203">
        <v>0</v>
      </c>
      <c r="R8" s="203">
        <v>11.7706329577723</v>
      </c>
      <c r="S8" s="203">
        <v>0</v>
      </c>
      <c r="T8" s="203">
        <v>0</v>
      </c>
      <c r="U8" s="203">
        <v>0</v>
      </c>
      <c r="Y8" s="219"/>
      <c r="Z8" s="854">
        <v>38.9892857142857</v>
      </c>
      <c r="AA8" s="203"/>
      <c r="AB8" s="203">
        <f t="shared" si="0"/>
        <v>88.2293670422277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42795</v>
      </c>
      <c r="C9" s="219" t="s">
        <v>171</v>
      </c>
      <c r="D9" s="203">
        <v>0</v>
      </c>
      <c r="E9" s="203">
        <v>0</v>
      </c>
      <c r="F9" s="203">
        <v>82.3694984646878</v>
      </c>
      <c r="G9" s="203">
        <v>0</v>
      </c>
      <c r="H9" s="203">
        <v>9.48481746844081</v>
      </c>
      <c r="I9" s="203">
        <v>0</v>
      </c>
      <c r="J9" s="203">
        <v>0</v>
      </c>
      <c r="K9" s="203">
        <v>0</v>
      </c>
      <c r="L9" s="203">
        <v>0</v>
      </c>
      <c r="M9" s="203">
        <v>0</v>
      </c>
      <c r="N9" s="203">
        <v>0</v>
      </c>
      <c r="O9" s="203">
        <v>0</v>
      </c>
      <c r="P9" s="203">
        <v>0</v>
      </c>
      <c r="Q9" s="203">
        <v>0</v>
      </c>
      <c r="R9" s="203">
        <v>8.14568406687137</v>
      </c>
      <c r="S9" s="203">
        <v>0</v>
      </c>
      <c r="T9" s="203">
        <v>0</v>
      </c>
      <c r="U9" s="203">
        <v>0</v>
      </c>
      <c r="Y9" s="219"/>
      <c r="Z9" s="854">
        <v>37.8193548387097</v>
      </c>
      <c r="AA9" s="203"/>
      <c r="AB9" s="203">
        <f t="shared" si="0"/>
        <v>91.8543159331286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42826</v>
      </c>
      <c r="C10" s="219" t="s">
        <v>172</v>
      </c>
      <c r="D10" s="203">
        <v>0</v>
      </c>
      <c r="E10" s="203">
        <v>0</v>
      </c>
      <c r="F10" s="203">
        <v>75.8796174431868</v>
      </c>
      <c r="G10" s="203">
        <v>0</v>
      </c>
      <c r="H10" s="203">
        <v>13.0911643414934</v>
      </c>
      <c r="I10" s="203">
        <v>0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11.0292182153198</v>
      </c>
      <c r="S10" s="203">
        <v>0</v>
      </c>
      <c r="T10" s="203">
        <v>0</v>
      </c>
      <c r="U10" s="203">
        <v>0</v>
      </c>
      <c r="Y10" s="219"/>
      <c r="Z10" s="854">
        <v>37.99</v>
      </c>
      <c r="AA10" s="203"/>
      <c r="AB10" s="203">
        <f t="shared" si="0"/>
        <v>88.9707817846802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42856</v>
      </c>
      <c r="C11" s="219" t="s">
        <v>173</v>
      </c>
      <c r="D11" s="203">
        <v>0</v>
      </c>
      <c r="E11" s="203">
        <v>0</v>
      </c>
      <c r="F11" s="203">
        <v>98.577449947313</v>
      </c>
      <c r="G11" s="203">
        <v>0</v>
      </c>
      <c r="H11" s="203">
        <v>1.42255005268704</v>
      </c>
      <c r="I11" s="203">
        <v>0</v>
      </c>
      <c r="J11" s="203">
        <v>0</v>
      </c>
      <c r="K11" s="203">
        <v>0</v>
      </c>
      <c r="L11" s="203">
        <v>0</v>
      </c>
      <c r="M11" s="203">
        <v>0</v>
      </c>
      <c r="N11" s="203">
        <v>0</v>
      </c>
      <c r="O11" s="203">
        <v>0</v>
      </c>
      <c r="P11" s="203">
        <v>0</v>
      </c>
      <c r="Q11" s="203">
        <v>0</v>
      </c>
      <c r="R11" s="203">
        <v>0</v>
      </c>
      <c r="S11" s="203">
        <v>0</v>
      </c>
      <c r="T11" s="203">
        <v>0</v>
      </c>
      <c r="U11" s="203">
        <v>0</v>
      </c>
      <c r="Y11" s="219"/>
      <c r="Z11" s="854">
        <v>36.7354838709678</v>
      </c>
      <c r="AA11" s="203"/>
      <c r="AB11" s="203">
        <f t="shared" si="0"/>
        <v>100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42887</v>
      </c>
      <c r="C12" s="219" t="s">
        <v>174</v>
      </c>
      <c r="D12" s="203">
        <v>0</v>
      </c>
      <c r="E12" s="203">
        <v>0</v>
      </c>
      <c r="F12" s="203">
        <v>100</v>
      </c>
      <c r="G12" s="203">
        <v>0</v>
      </c>
      <c r="H12" s="203">
        <v>0</v>
      </c>
      <c r="I12" s="203">
        <v>0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0</v>
      </c>
      <c r="Y12" s="219"/>
      <c r="Z12" s="854">
        <v>36.67</v>
      </c>
      <c r="AA12" s="203"/>
      <c r="AB12" s="203">
        <f t="shared" si="0"/>
        <v>100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42917</v>
      </c>
      <c r="C13" s="219" t="s">
        <v>175</v>
      </c>
      <c r="D13" s="203">
        <v>0</v>
      </c>
      <c r="E13" s="203">
        <v>0</v>
      </c>
      <c r="F13" s="203">
        <v>100</v>
      </c>
      <c r="G13" s="203">
        <v>0</v>
      </c>
      <c r="H13" s="203">
        <v>0</v>
      </c>
      <c r="I13" s="203">
        <v>0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Y13" s="219"/>
      <c r="Z13" s="854">
        <v>36.9290322580645</v>
      </c>
      <c r="AA13" s="203"/>
      <c r="AB13" s="203">
        <f t="shared" si="0"/>
        <v>100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42948</v>
      </c>
      <c r="C14" s="228" t="s">
        <v>176</v>
      </c>
      <c r="D14" s="203">
        <v>0</v>
      </c>
      <c r="E14" s="203">
        <v>0</v>
      </c>
      <c r="F14" s="203">
        <v>100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Y14" s="219"/>
      <c r="Z14" s="854">
        <v>33.4612903225807</v>
      </c>
      <c r="AA14" s="203"/>
      <c r="AB14" s="203">
        <f t="shared" si="0"/>
        <v>100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42979</v>
      </c>
      <c r="C15" s="228" t="s">
        <v>177</v>
      </c>
      <c r="D15" s="259">
        <v>0</v>
      </c>
      <c r="E15" s="259">
        <v>0</v>
      </c>
      <c r="F15" s="259">
        <v>88.1130623443008</v>
      </c>
      <c r="G15" s="259">
        <v>0</v>
      </c>
      <c r="H15" s="259">
        <v>0</v>
      </c>
      <c r="I15" s="259">
        <v>0</v>
      </c>
      <c r="J15" s="259">
        <v>0</v>
      </c>
      <c r="K15" s="259">
        <v>0</v>
      </c>
      <c r="L15" s="259">
        <v>0</v>
      </c>
      <c r="M15" s="259">
        <v>0</v>
      </c>
      <c r="N15" s="259">
        <v>0</v>
      </c>
      <c r="O15" s="259">
        <v>0</v>
      </c>
      <c r="P15" s="259">
        <v>0</v>
      </c>
      <c r="Q15" s="259">
        <v>0</v>
      </c>
      <c r="R15" s="259">
        <v>5.94602215693776</v>
      </c>
      <c r="S15" s="259">
        <v>0</v>
      </c>
      <c r="T15" s="259">
        <v>5.94091549876143</v>
      </c>
      <c r="U15" s="259">
        <v>0</v>
      </c>
      <c r="Z15" s="854">
        <v>36.9752215315069</v>
      </c>
      <c r="AA15" s="203"/>
      <c r="AB15" s="203">
        <f t="shared" si="0"/>
        <v>88.1130623443008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22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42644</v>
      </c>
      <c r="E28" s="686">
        <v>0.22</v>
      </c>
      <c r="F28" s="251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42675</v>
      </c>
      <c r="E29" s="686">
        <v>0.195</v>
      </c>
      <c r="F29" s="251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42705</v>
      </c>
      <c r="E30" s="686">
        <v>0.165</v>
      </c>
      <c r="F30" s="251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42736</v>
      </c>
      <c r="E31" s="686">
        <v>0.17</v>
      </c>
      <c r="F31" s="251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42767</v>
      </c>
      <c r="E32" s="686">
        <v>0.16</v>
      </c>
      <c r="F32" s="251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42795</v>
      </c>
      <c r="E33" s="686">
        <v>0.19</v>
      </c>
      <c r="F33" s="251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42826</v>
      </c>
      <c r="E34" s="686">
        <v>0.19</v>
      </c>
      <c r="F34" s="251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42856</v>
      </c>
      <c r="E35" s="686">
        <v>0.18</v>
      </c>
      <c r="F35" s="251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42887</v>
      </c>
      <c r="E36" s="686">
        <v>0.16</v>
      </c>
      <c r="F36" s="251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42917</v>
      </c>
      <c r="E37" s="686">
        <v>0.175</v>
      </c>
      <c r="F37" s="251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42948</v>
      </c>
      <c r="E38" s="686">
        <v>0.14</v>
      </c>
      <c r="F38" s="251"/>
      <c r="G38" s="199"/>
      <c r="H38" s="191"/>
      <c r="I38" s="191"/>
      <c r="J38" s="191"/>
      <c r="AC38" s="694"/>
    </row>
    <row r="39" spans="1:29">
      <c r="A39" s="673"/>
      <c r="D39" s="682">
        <f t="shared" si="1"/>
        <v>42979</v>
      </c>
      <c r="E39" s="686">
        <v>0.19</v>
      </c>
      <c r="F39" s="251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Oct</v>
      </c>
      <c r="D49" s="223"/>
      <c r="E49" s="223">
        <v>549569</v>
      </c>
      <c r="F49" s="225">
        <v>760</v>
      </c>
      <c r="G49" s="225">
        <v>840</v>
      </c>
      <c r="H49" s="225">
        <f>E49/J49/F49*100</f>
        <v>97.1931593095642</v>
      </c>
      <c r="I49" s="226">
        <f>D49/J49/G49*100</f>
        <v>0</v>
      </c>
      <c r="J49">
        <v>744</v>
      </c>
    </row>
    <row r="50" spans="1:10">
      <c r="A50" s="673"/>
      <c r="B50" s="219"/>
      <c r="C50" s="219" t="str">
        <f t="shared" ref="C50:C60" si="2">C5</f>
        <v>Nov</v>
      </c>
      <c r="D50" s="251">
        <v>325883</v>
      </c>
      <c r="E50" s="251">
        <v>549252</v>
      </c>
      <c r="F50" s="199">
        <v>760</v>
      </c>
      <c r="G50" s="225">
        <v>840</v>
      </c>
      <c r="H50" s="225">
        <f t="shared" ref="H50:H60" si="3">E50/J50/F50*100</f>
        <v>100.375</v>
      </c>
      <c r="I50" s="226">
        <f t="shared" ref="I50:I60" si="4">D50/J50/G50*100</f>
        <v>53.8827711640212</v>
      </c>
      <c r="J50">
        <v>720</v>
      </c>
    </row>
    <row r="51" spans="1:10">
      <c r="A51" s="673"/>
      <c r="B51" s="219"/>
      <c r="C51" s="219" t="str">
        <f t="shared" si="2"/>
        <v>dec</v>
      </c>
      <c r="D51" s="251">
        <v>249270</v>
      </c>
      <c r="E51" s="251">
        <v>515491</v>
      </c>
      <c r="F51" s="225">
        <v>760</v>
      </c>
      <c r="G51" s="225">
        <v>840</v>
      </c>
      <c r="H51" s="225">
        <f t="shared" si="3"/>
        <v>91.1663483305037</v>
      </c>
      <c r="I51" s="226">
        <f t="shared" si="4"/>
        <v>39.885752688172</v>
      </c>
      <c r="J51">
        <v>744</v>
      </c>
    </row>
    <row r="52" spans="1:10">
      <c r="A52" s="673"/>
      <c r="B52" s="219"/>
      <c r="C52" s="219" t="str">
        <f t="shared" si="2"/>
        <v>Jan</v>
      </c>
      <c r="D52" s="251">
        <v>287891</v>
      </c>
      <c r="E52" s="251">
        <v>566038</v>
      </c>
      <c r="F52" s="199">
        <v>760</v>
      </c>
      <c r="G52" s="225">
        <v>840</v>
      </c>
      <c r="H52" s="225">
        <f t="shared" si="3"/>
        <v>100.105758347482</v>
      </c>
      <c r="I52" s="226">
        <f t="shared" si="4"/>
        <v>46.0655081925243</v>
      </c>
      <c r="J52">
        <v>744</v>
      </c>
    </row>
    <row r="53" spans="1:10">
      <c r="A53" s="673"/>
      <c r="B53" s="219"/>
      <c r="C53" s="219" t="str">
        <f t="shared" si="2"/>
        <v>Feb</v>
      </c>
      <c r="D53" s="251">
        <v>300530</v>
      </c>
      <c r="E53" s="251">
        <v>508069</v>
      </c>
      <c r="F53" s="225">
        <v>760</v>
      </c>
      <c r="G53" s="225">
        <v>840</v>
      </c>
      <c r="H53" s="225">
        <f t="shared" si="3"/>
        <v>99.4809288847118</v>
      </c>
      <c r="I53" s="226">
        <f t="shared" si="4"/>
        <v>53.2401502267574</v>
      </c>
      <c r="J53">
        <v>672</v>
      </c>
    </row>
    <row r="54" spans="1:10">
      <c r="A54" s="673"/>
      <c r="B54" s="219"/>
      <c r="C54" s="219" t="str">
        <f t="shared" si="2"/>
        <v>mar</v>
      </c>
      <c r="D54" s="251">
        <v>376051</v>
      </c>
      <c r="E54" s="251">
        <v>564830</v>
      </c>
      <c r="F54" s="199">
        <v>760</v>
      </c>
      <c r="G54" s="225">
        <v>840</v>
      </c>
      <c r="H54" s="225">
        <f t="shared" si="3"/>
        <v>99.8921194114318</v>
      </c>
      <c r="I54" s="226">
        <f t="shared" si="4"/>
        <v>60.1720110087046</v>
      </c>
      <c r="J54">
        <v>744</v>
      </c>
    </row>
    <row r="55" spans="1:10">
      <c r="A55" s="673"/>
      <c r="B55" s="219"/>
      <c r="C55" s="219" t="str">
        <f t="shared" si="2"/>
        <v>apr</v>
      </c>
      <c r="D55" s="251">
        <v>370937</v>
      </c>
      <c r="E55" s="251">
        <v>550481</v>
      </c>
      <c r="F55" s="225">
        <v>760</v>
      </c>
      <c r="G55" s="225">
        <v>840</v>
      </c>
      <c r="H55" s="225">
        <f t="shared" si="3"/>
        <v>100.599597953216</v>
      </c>
      <c r="I55" s="226">
        <f t="shared" si="4"/>
        <v>61.3321759259259</v>
      </c>
      <c r="J55">
        <v>720</v>
      </c>
    </row>
    <row r="56" spans="1:10">
      <c r="A56" s="673"/>
      <c r="B56" s="219"/>
      <c r="C56" s="219" t="str">
        <f t="shared" si="2"/>
        <v>May</v>
      </c>
      <c r="D56" s="251">
        <v>402562</v>
      </c>
      <c r="E56" s="251">
        <v>537609</v>
      </c>
      <c r="F56" s="199">
        <v>760</v>
      </c>
      <c r="G56" s="225">
        <v>840</v>
      </c>
      <c r="H56" s="225">
        <f t="shared" si="3"/>
        <v>95.0779923599321</v>
      </c>
      <c r="I56" s="226">
        <f t="shared" si="4"/>
        <v>64.4140424987199</v>
      </c>
      <c r="J56">
        <v>744</v>
      </c>
    </row>
    <row r="57" spans="1:10">
      <c r="A57" s="673"/>
      <c r="B57" s="219"/>
      <c r="C57" s="219" t="str">
        <f t="shared" si="2"/>
        <v>June</v>
      </c>
      <c r="D57" s="251">
        <v>394891</v>
      </c>
      <c r="E57" s="251">
        <v>547280</v>
      </c>
      <c r="F57" s="225">
        <v>760</v>
      </c>
      <c r="G57" s="225">
        <v>840</v>
      </c>
      <c r="H57" s="225">
        <f t="shared" si="3"/>
        <v>100.014619883041</v>
      </c>
      <c r="I57" s="226">
        <f t="shared" si="4"/>
        <v>65.2928240740741</v>
      </c>
      <c r="J57">
        <v>720</v>
      </c>
    </row>
    <row r="58" spans="1:10">
      <c r="A58" s="673"/>
      <c r="B58" s="219"/>
      <c r="C58" s="219" t="str">
        <f t="shared" si="2"/>
        <v>July</v>
      </c>
      <c r="D58" s="251">
        <v>382390</v>
      </c>
      <c r="E58" s="251">
        <v>564750</v>
      </c>
      <c r="F58" s="199">
        <v>760</v>
      </c>
      <c r="G58" s="225">
        <v>840</v>
      </c>
      <c r="H58" s="225">
        <f t="shared" si="3"/>
        <v>99.8779711375212</v>
      </c>
      <c r="I58" s="226">
        <f t="shared" si="4"/>
        <v>61.1863159242192</v>
      </c>
      <c r="J58">
        <v>744</v>
      </c>
    </row>
    <row r="59" spans="1:10">
      <c r="A59" s="673"/>
      <c r="B59" s="219"/>
      <c r="C59" s="219" t="str">
        <f t="shared" si="2"/>
        <v>Aug</v>
      </c>
      <c r="D59" s="251">
        <v>342599</v>
      </c>
      <c r="E59" s="251">
        <v>522428</v>
      </c>
      <c r="F59" s="225">
        <v>760</v>
      </c>
      <c r="G59" s="225">
        <v>840</v>
      </c>
      <c r="H59" s="225">
        <f t="shared" si="3"/>
        <v>92.3931805319751</v>
      </c>
      <c r="I59" s="226">
        <f t="shared" si="4"/>
        <v>54.8193484383001</v>
      </c>
      <c r="J59">
        <v>744</v>
      </c>
    </row>
    <row r="60" spans="1:10">
      <c r="A60" s="673"/>
      <c r="B60" s="228"/>
      <c r="C60" s="224" t="str">
        <f t="shared" si="2"/>
        <v>Sep</v>
      </c>
      <c r="D60" s="252">
        <v>373236</v>
      </c>
      <c r="E60" s="252">
        <v>501797</v>
      </c>
      <c r="F60" s="199">
        <v>760</v>
      </c>
      <c r="G60" s="225">
        <v>840</v>
      </c>
      <c r="H60" s="225">
        <f t="shared" si="3"/>
        <v>91.702668128655</v>
      </c>
      <c r="I60" s="226">
        <f t="shared" si="4"/>
        <v>61.7123015873016</v>
      </c>
      <c r="J60">
        <v>720</v>
      </c>
    </row>
    <row r="61" spans="1:12">
      <c r="A61" s="673"/>
      <c r="D61" s="684">
        <f>SUM(D49:D60)/8760</f>
        <v>434.502283105023</v>
      </c>
      <c r="E61" s="684">
        <f>SUM(E49:E60)/8760</f>
        <v>739.451369863014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  <row r="67" spans="1:19">
      <c r="A67" s="675"/>
      <c r="B67" s="676"/>
      <c r="C67" s="676"/>
      <c r="D67" s="676"/>
      <c r="E67" s="676"/>
      <c r="F67" s="676"/>
      <c r="G67" s="676"/>
      <c r="H67" s="676"/>
      <c r="I67" s="676"/>
      <c r="J67" s="676"/>
      <c r="K67" s="676"/>
      <c r="L67" s="676"/>
      <c r="M67" s="676"/>
      <c r="N67" s="676"/>
      <c r="O67" s="676"/>
      <c r="P67" s="676"/>
      <c r="Q67" s="676"/>
      <c r="R67" s="676"/>
      <c r="S67" s="676"/>
    </row>
  </sheetData>
  <mergeCells count="8">
    <mergeCell ref="C1:O1"/>
    <mergeCell ref="P1:AH1"/>
    <mergeCell ref="A20:O20"/>
    <mergeCell ref="A44:O44"/>
    <mergeCell ref="A67:S67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N83"/>
  <sheetViews>
    <sheetView zoomScale="115" zoomScaleNormal="115" topLeftCell="A2" workbookViewId="0">
      <selection activeCell="G7" sqref="G7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6" width="7" customWidth="1"/>
    <col min="7" max="7" width="5.66346153846154" customWidth="1"/>
    <col min="8" max="8" width="6.5" customWidth="1"/>
    <col min="9" max="9" width="29.3365384615385" customWidth="1"/>
    <col min="10" max="10" width="13.5" customWidth="1"/>
    <col min="11" max="11" width="9.33653846153846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0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800</v>
      </c>
      <c r="G3" s="22"/>
      <c r="H3" s="23" t="s">
        <v>187</v>
      </c>
      <c r="I3" s="5" t="s">
        <v>188</v>
      </c>
      <c r="J3" s="35">
        <v>6493000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760</v>
      </c>
      <c r="G4" s="217"/>
      <c r="H4" s="25" t="s">
        <v>187</v>
      </c>
      <c r="I4" s="7" t="s">
        <v>191</v>
      </c>
      <c r="J4" s="37">
        <v>2967427.83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f>J6/J9*100</f>
        <v>86.4144350219791</v>
      </c>
      <c r="H6" s="27" t="s">
        <v>195</v>
      </c>
      <c r="I6" s="1"/>
      <c r="J6" s="40">
        <v>1188021.09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f>J7/J9*100</f>
        <v>12.478636083211</v>
      </c>
      <c r="H7" s="27" t="s">
        <v>195</v>
      </c>
      <c r="I7" s="1"/>
      <c r="J7" s="40">
        <v>171555.63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f>J8/J9*100</f>
        <v>1.10692889480984</v>
      </c>
      <c r="H8" s="27" t="s">
        <v>195</v>
      </c>
      <c r="I8" s="1"/>
      <c r="J8" s="40">
        <v>15218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1374794.72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f>J11/$J$32*100</f>
        <v>47.4516592208958</v>
      </c>
      <c r="H11" s="27" t="s">
        <v>195</v>
      </c>
      <c r="I11" s="1"/>
      <c r="J11" s="40">
        <f>SUM(J12:J15)</f>
        <v>516772.29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202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37.58</v>
      </c>
      <c r="F13" s="15" t="s">
        <v>204</v>
      </c>
      <c r="G13" s="31"/>
      <c r="H13" s="15"/>
      <c r="I13" s="15"/>
      <c r="J13" s="45">
        <v>442053.54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206</v>
      </c>
      <c r="E15" s="32">
        <v>53.909632034632</v>
      </c>
      <c r="F15" s="15" t="s">
        <v>204</v>
      </c>
      <c r="G15" s="31"/>
      <c r="H15" s="15"/>
      <c r="I15" s="15"/>
      <c r="J15" s="45">
        <v>74718.75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f>J16/$J$32*100</f>
        <v>4.56654886889077</v>
      </c>
      <c r="H16" s="27" t="s">
        <v>195</v>
      </c>
      <c r="I16" s="1"/>
      <c r="J16" s="40">
        <v>49732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f>J17/$J$32*100</f>
        <v>14.5411139483138</v>
      </c>
      <c r="H17" s="27" t="s">
        <v>195</v>
      </c>
      <c r="I17" s="1"/>
      <c r="J17" s="40">
        <v>158360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f>J18/$J$32*100</f>
        <v>21.0086040219329</v>
      </c>
      <c r="H18" s="27" t="s">
        <v>195</v>
      </c>
      <c r="I18" s="1"/>
      <c r="J18" s="40">
        <v>228794.2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f>J19/$J$32*100</f>
        <v>12.4320739399667</v>
      </c>
      <c r="H19" s="27" t="s">
        <v>195</v>
      </c>
      <c r="I19" s="1"/>
      <c r="J19" s="40">
        <f>SUM(J20:J31)</f>
        <v>135391.5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58600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800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1912.5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4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14186.5</v>
      </c>
      <c r="K26" s="44" t="s">
        <v>196</v>
      </c>
      <c r="L26" s="15"/>
      <c r="N26" t="s">
        <v>77</v>
      </c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350.5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 t="s">
        <v>77</v>
      </c>
      <c r="J29" s="45">
        <v>59542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1089049.99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225</v>
      </c>
      <c r="D34" s="1"/>
      <c r="E34" s="1"/>
      <c r="F34" s="1"/>
      <c r="G34" s="1"/>
      <c r="H34" s="1"/>
      <c r="I34" s="1"/>
      <c r="J34" s="46">
        <f>J9/J3*100</f>
        <v>21.1734902202372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16.772678114893</v>
      </c>
      <c r="K35" s="41" t="s">
        <v>226</v>
      </c>
      <c r="L35" s="1"/>
    </row>
    <row r="36" ht="21.75" customHeight="1" spans="1:12">
      <c r="A36" s="1"/>
      <c r="B36" s="11"/>
      <c r="C36" s="1" t="s">
        <v>228</v>
      </c>
      <c r="D36" s="1"/>
      <c r="E36" s="1"/>
      <c r="F36" s="1"/>
      <c r="G36" s="1"/>
      <c r="H36" s="1"/>
      <c r="I36" s="1"/>
      <c r="J36" s="46">
        <f>J34-J35</f>
        <v>4.40081210534421</v>
      </c>
      <c r="K36" s="41" t="s">
        <v>226</v>
      </c>
      <c r="L36" s="1"/>
    </row>
    <row r="37" ht="21.75" customHeight="1" spans="1:12">
      <c r="A37" s="12"/>
      <c r="B37" s="13"/>
      <c r="C37" s="14" t="s">
        <v>229</v>
      </c>
      <c r="D37" s="14"/>
      <c r="E37" s="14"/>
      <c r="F37" s="14"/>
      <c r="G37" s="14"/>
      <c r="H37" s="14"/>
      <c r="I37" s="14"/>
      <c r="J37" s="47">
        <f>J9-J32</f>
        <v>285744.73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799981688894314"/>
  </sheetPr>
  <dimension ref="A1:T64"/>
  <sheetViews>
    <sheetView zoomScale="115" zoomScaleNormal="115" topLeftCell="A12" workbookViewId="0">
      <selection activeCell="H23" sqref="H23:H24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60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3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5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6" t="s">
        <v>7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9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11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16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0">
        <v>1</v>
      </c>
      <c r="E14" s="68">
        <v>1</v>
      </c>
      <c r="F14" s="68"/>
      <c r="G14" s="68"/>
      <c r="H14" s="64"/>
      <c r="I14" s="57" t="s">
        <v>27</v>
      </c>
      <c r="J14" s="64"/>
      <c r="K14" s="119">
        <v>12205.9264258415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71">
        <v>2500</v>
      </c>
      <c r="E15" s="69">
        <v>2500</v>
      </c>
      <c r="F15" s="69"/>
      <c r="G15" s="69"/>
      <c r="H15" s="98">
        <v>5000</v>
      </c>
      <c r="I15" s="57" t="s">
        <v>27</v>
      </c>
      <c r="J15" s="64"/>
      <c r="K15" s="121">
        <v>33.4408943173739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71">
        <v>2300</v>
      </c>
      <c r="E16" s="69">
        <v>2300</v>
      </c>
      <c r="F16" s="69"/>
      <c r="G16" s="69"/>
      <c r="H16" s="98">
        <v>4600</v>
      </c>
      <c r="I16" s="56" t="s">
        <v>58</v>
      </c>
      <c r="J16" s="56"/>
      <c r="K16" s="122">
        <v>81.7594638197405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/>
      <c r="G17" s="70"/>
      <c r="H17" s="98"/>
      <c r="I17" s="56" t="s">
        <v>67</v>
      </c>
      <c r="J17" s="56"/>
      <c r="K17" s="124">
        <v>9.80933325523841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800</v>
      </c>
      <c r="E18" s="71">
        <v>800</v>
      </c>
      <c r="F18" s="71"/>
      <c r="G18" s="71"/>
      <c r="H18" s="98">
        <v>1600</v>
      </c>
      <c r="I18" s="56" t="s">
        <v>68</v>
      </c>
      <c r="J18" s="56"/>
      <c r="K18" s="124">
        <v>5.9867997462282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64</v>
      </c>
      <c r="J19" s="56"/>
      <c r="K19" s="124">
        <v>1.89548949815532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70</v>
      </c>
      <c r="J20" s="56"/>
      <c r="K20" s="124">
        <v>0.548913680637568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9.28337888669817</v>
      </c>
      <c r="E21" s="77" t="s">
        <v>72</v>
      </c>
      <c r="F21" s="77"/>
      <c r="G21" s="77"/>
      <c r="H21" s="102"/>
      <c r="I21" s="56"/>
      <c r="J21" s="56"/>
      <c r="K21" s="124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82.1016130457204</v>
      </c>
      <c r="E22" s="77" t="s">
        <v>72</v>
      </c>
      <c r="F22" s="77"/>
      <c r="G22" s="77"/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5"/>
      <c r="E23" s="77"/>
      <c r="F23" s="77"/>
      <c r="G23" s="78"/>
      <c r="H23" s="75">
        <f>K15*K24*K25/10/H16</f>
        <v>2.33235542629595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77"/>
      <c r="G24" s="78"/>
      <c r="H24" s="77">
        <f>H16/K15</f>
        <v>137.556129819474</v>
      </c>
      <c r="I24" s="127" t="s">
        <v>80</v>
      </c>
      <c r="J24" s="56"/>
      <c r="K24" s="122">
        <v>33.218535636552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 t="s">
        <v>72</v>
      </c>
      <c r="F25" s="77"/>
      <c r="G25" s="77"/>
      <c r="H25" s="77" t="s">
        <v>235</v>
      </c>
      <c r="I25" s="128" t="s">
        <v>83</v>
      </c>
      <c r="J25" s="56"/>
      <c r="K25" s="122">
        <v>96.5815559466432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236</v>
      </c>
      <c r="I26" s="57" t="s">
        <v>86</v>
      </c>
      <c r="J26" s="56"/>
      <c r="K26" s="122">
        <v>81.4578291280631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237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238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7.89097222222222</v>
      </c>
      <c r="E29" s="75">
        <v>7.93</v>
      </c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44.8</v>
      </c>
      <c r="E30" s="77">
        <v>42</v>
      </c>
      <c r="F30" s="77"/>
      <c r="G30" s="77"/>
      <c r="H30" s="78"/>
      <c r="I30" s="66" t="s">
        <v>96</v>
      </c>
      <c r="J30" s="92"/>
      <c r="K30" s="135">
        <v>2500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2.49958333333333</v>
      </c>
      <c r="E31" s="75"/>
      <c r="F31" s="75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5.18416666666667</v>
      </c>
      <c r="E32" s="75"/>
      <c r="F32" s="75"/>
      <c r="G32" s="80"/>
      <c r="H32" s="78"/>
      <c r="I32" s="66" t="s">
        <v>66</v>
      </c>
      <c r="J32" s="92"/>
      <c r="K32" s="135">
        <v>800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145</v>
      </c>
      <c r="E33" s="80"/>
      <c r="F33" s="80"/>
      <c r="G33" s="80"/>
      <c r="H33" s="78"/>
      <c r="I33" s="57" t="s">
        <v>103</v>
      </c>
      <c r="J33" s="64"/>
      <c r="K33" s="136">
        <v>3.1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0.168787878787879</v>
      </c>
      <c r="E34" s="80"/>
      <c r="F34" s="80"/>
      <c r="G34" s="80"/>
      <c r="H34" s="78"/>
      <c r="I34" s="66" t="s">
        <v>105</v>
      </c>
      <c r="J34" s="64"/>
      <c r="K34" s="137">
        <v>4.42352812913827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76.058719602287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63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52.1394520547945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145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705">
        <v>0.21068493150685</v>
      </c>
    </row>
    <row r="43" ht="15" customHeight="1" spans="1:12">
      <c r="A43" s="157"/>
      <c r="B43" s="66" t="s">
        <v>121</v>
      </c>
      <c r="C43" s="64" t="s">
        <v>122</v>
      </c>
      <c r="D43" s="77">
        <v>800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12.6465753424658</v>
      </c>
    </row>
    <row r="44" ht="15" customHeight="1" spans="1:17">
      <c r="A44" s="157"/>
      <c r="B44" s="66" t="s">
        <v>125</v>
      </c>
      <c r="C44" s="64" t="s">
        <v>122</v>
      </c>
      <c r="D44" s="77">
        <v>840</v>
      </c>
      <c r="E44" s="77"/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41.7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43.8</v>
      </c>
      <c r="E46" s="78"/>
      <c r="F46" s="78"/>
      <c r="G46" s="78"/>
      <c r="H46" s="102"/>
      <c r="I46" s="66"/>
      <c r="J46" s="64" t="s">
        <v>131</v>
      </c>
      <c r="K46" s="79">
        <v>244.067995829708</v>
      </c>
      <c r="L46" s="147">
        <v>126.300291243788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9">
        <v>791.674178566878</v>
      </c>
      <c r="L47" s="147">
        <v>409.675504497311</v>
      </c>
    </row>
    <row r="48" ht="15" customHeight="1" spans="1:13">
      <c r="A48" s="157"/>
      <c r="B48" s="66" t="s">
        <v>135</v>
      </c>
      <c r="C48" s="64" t="s">
        <v>240</v>
      </c>
      <c r="D48" s="69">
        <v>7675</v>
      </c>
      <c r="E48" s="69"/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7324.56625</v>
      </c>
      <c r="E49" s="69"/>
      <c r="F49" s="78"/>
      <c r="G49" s="69"/>
      <c r="H49" s="98"/>
      <c r="I49" s="66"/>
      <c r="J49" s="64" t="s">
        <v>139</v>
      </c>
      <c r="K49" s="150">
        <v>16053.8438356164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83.613769977169</v>
      </c>
      <c r="E50" s="78"/>
      <c r="F50" s="78"/>
      <c r="G50" s="78"/>
      <c r="H50" s="102"/>
      <c r="I50" s="66"/>
      <c r="J50" s="64" t="s">
        <v>141</v>
      </c>
      <c r="K50" s="150">
        <v>480.066223207309</v>
      </c>
      <c r="L50" s="120"/>
      <c r="N50" s="179"/>
      <c r="R50" s="182"/>
      <c r="S50" s="182"/>
      <c r="T50" s="182"/>
    </row>
    <row r="51" ht="15" customHeight="1" spans="1:14">
      <c r="A51" s="157"/>
      <c r="B51" s="84"/>
      <c r="C51" s="56"/>
      <c r="D51" s="78"/>
      <c r="E51" s="107"/>
      <c r="F51" s="78"/>
      <c r="G51" s="78"/>
      <c r="H51" s="102"/>
      <c r="I51" s="64"/>
      <c r="J51" s="64"/>
      <c r="K51" s="143"/>
      <c r="L51" s="120"/>
      <c r="N51" s="179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355441</v>
      </c>
      <c r="D55" s="69">
        <v>6.06590526776927</v>
      </c>
      <c r="E55" s="111" t="s">
        <v>147</v>
      </c>
      <c r="F55" s="64"/>
      <c r="G55" s="64" t="s">
        <v>148</v>
      </c>
      <c r="H55" s="64"/>
      <c r="I55" s="69">
        <v>484719</v>
      </c>
      <c r="J55" s="69">
        <v>7.878233452683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150</v>
      </c>
      <c r="H56" s="64"/>
      <c r="I56" s="69">
        <v>4040155</v>
      </c>
      <c r="J56" s="69">
        <v>65.665435592631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  <row r="64" spans="2:2">
      <c r="B64" s="156" t="s">
        <v>77</v>
      </c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799981688894314"/>
  </sheetPr>
  <dimension ref="A1:AJ67"/>
  <sheetViews>
    <sheetView zoomScale="85" zoomScaleNormal="85" workbookViewId="0">
      <selection activeCell="U15" sqref="U15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158</v>
      </c>
      <c r="K2" t="s">
        <v>159</v>
      </c>
      <c r="L2" t="s">
        <v>159</v>
      </c>
      <c r="M2" t="s">
        <v>159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159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42644</v>
      </c>
      <c r="C4" s="219" t="s">
        <v>166</v>
      </c>
      <c r="D4" s="674">
        <v>0</v>
      </c>
      <c r="E4" s="674">
        <v>0</v>
      </c>
      <c r="F4" s="674">
        <v>41.8285053982184</v>
      </c>
      <c r="G4" s="674">
        <v>0</v>
      </c>
      <c r="H4" s="674">
        <v>10.3779637325006</v>
      </c>
      <c r="I4" s="674">
        <v>0</v>
      </c>
      <c r="J4" s="674">
        <v>0</v>
      </c>
      <c r="K4" s="674">
        <v>0</v>
      </c>
      <c r="L4" s="674">
        <v>0</v>
      </c>
      <c r="M4" s="674">
        <v>0</v>
      </c>
      <c r="N4" s="674">
        <v>0</v>
      </c>
      <c r="O4" s="674">
        <v>0</v>
      </c>
      <c r="P4" s="674">
        <v>0</v>
      </c>
      <c r="Q4" s="674">
        <v>0</v>
      </c>
      <c r="R4" s="674">
        <v>31.3483963533901</v>
      </c>
      <c r="S4" s="674">
        <v>16.4451345158909</v>
      </c>
      <c r="T4" s="674">
        <v>0</v>
      </c>
      <c r="U4" s="674">
        <v>0</v>
      </c>
      <c r="Y4" s="219"/>
      <c r="Z4" s="203">
        <v>31.5805628090108</v>
      </c>
      <c r="AA4" s="203"/>
      <c r="AB4" s="203">
        <f>SUM(D4:O4)</f>
        <v>52.206469130719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42675</v>
      </c>
      <c r="C5" s="219" t="s">
        <v>167</v>
      </c>
      <c r="D5" s="203">
        <v>0</v>
      </c>
      <c r="E5" s="203">
        <v>0</v>
      </c>
      <c r="F5" s="203">
        <v>65.2090959982228</v>
      </c>
      <c r="G5" s="203">
        <v>0</v>
      </c>
      <c r="H5" s="203">
        <v>9.9606167438593</v>
      </c>
      <c r="I5" s="203">
        <v>0</v>
      </c>
      <c r="J5" s="203">
        <v>0</v>
      </c>
      <c r="K5" s="203">
        <v>0</v>
      </c>
      <c r="L5" s="203">
        <v>0</v>
      </c>
      <c r="M5" s="203">
        <v>0</v>
      </c>
      <c r="N5" s="203">
        <v>0</v>
      </c>
      <c r="O5" s="203">
        <v>0</v>
      </c>
      <c r="P5" s="203">
        <v>0</v>
      </c>
      <c r="Q5" s="203">
        <v>0</v>
      </c>
      <c r="R5" s="203">
        <v>18.0124382556755</v>
      </c>
      <c r="S5" s="203">
        <v>6.81784900224232</v>
      </c>
      <c r="T5" s="203">
        <v>0</v>
      </c>
      <c r="U5" s="203">
        <v>0</v>
      </c>
      <c r="Y5" s="219"/>
      <c r="Z5" s="203">
        <v>34.4021535491685</v>
      </c>
      <c r="AA5" s="203"/>
      <c r="AB5" s="203">
        <f t="shared" ref="AB5:AB15" si="0">SUM(D5:O5)</f>
        <v>75.1697127420822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42705</v>
      </c>
      <c r="C6" s="219" t="s">
        <v>168</v>
      </c>
      <c r="D6" s="203">
        <v>0</v>
      </c>
      <c r="E6" s="203">
        <v>0</v>
      </c>
      <c r="F6" s="203">
        <v>70.2636846227482</v>
      </c>
      <c r="G6" s="203">
        <v>0</v>
      </c>
      <c r="H6" s="203">
        <v>11.1478548429205</v>
      </c>
      <c r="I6" s="203">
        <v>0</v>
      </c>
      <c r="J6" s="203">
        <v>0</v>
      </c>
      <c r="K6" s="203">
        <v>0</v>
      </c>
      <c r="L6" s="203">
        <v>0</v>
      </c>
      <c r="M6" s="203">
        <v>0</v>
      </c>
      <c r="N6" s="203">
        <v>0</v>
      </c>
      <c r="O6" s="203">
        <v>0</v>
      </c>
      <c r="P6" s="203">
        <v>0</v>
      </c>
      <c r="Q6" s="203">
        <v>0</v>
      </c>
      <c r="R6" s="203">
        <v>18.5884605343312</v>
      </c>
      <c r="S6" s="203">
        <v>0</v>
      </c>
      <c r="T6" s="203">
        <v>0</v>
      </c>
      <c r="U6" s="203">
        <v>0</v>
      </c>
      <c r="Y6" s="219"/>
      <c r="Z6" s="203">
        <v>37.0677419354839</v>
      </c>
      <c r="AA6" s="203"/>
      <c r="AB6" s="203">
        <f t="shared" si="0"/>
        <v>81.4115394656688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42736</v>
      </c>
      <c r="C7" s="219" t="s">
        <v>169</v>
      </c>
      <c r="D7" s="203">
        <v>0</v>
      </c>
      <c r="E7" s="203">
        <v>0</v>
      </c>
      <c r="F7" s="203">
        <v>75.2671755725191</v>
      </c>
      <c r="G7" s="203">
        <v>0</v>
      </c>
      <c r="H7" s="203">
        <v>9.7164667393675</v>
      </c>
      <c r="I7" s="203">
        <v>0</v>
      </c>
      <c r="J7" s="203">
        <v>0</v>
      </c>
      <c r="K7" s="203">
        <v>0</v>
      </c>
      <c r="L7" s="203">
        <v>0</v>
      </c>
      <c r="M7" s="203">
        <v>0</v>
      </c>
      <c r="N7" s="203">
        <v>0</v>
      </c>
      <c r="O7" s="203">
        <v>0</v>
      </c>
      <c r="P7" s="203">
        <v>0</v>
      </c>
      <c r="Q7" s="203">
        <v>0</v>
      </c>
      <c r="R7" s="203">
        <v>15.0163576881134</v>
      </c>
      <c r="S7" s="203">
        <v>0</v>
      </c>
      <c r="T7" s="203">
        <v>0</v>
      </c>
      <c r="U7" s="203">
        <v>0</v>
      </c>
      <c r="Y7" s="219"/>
      <c r="Z7" s="203">
        <v>29.5806451612903</v>
      </c>
      <c r="AA7" s="203"/>
      <c r="AB7" s="203">
        <f t="shared" si="0"/>
        <v>84.9836423118866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42767</v>
      </c>
      <c r="C8" s="219" t="s">
        <v>170</v>
      </c>
      <c r="D8" s="203">
        <v>0</v>
      </c>
      <c r="E8" s="203">
        <v>0</v>
      </c>
      <c r="F8" s="203">
        <v>74.0689872562203</v>
      </c>
      <c r="G8" s="203">
        <v>0</v>
      </c>
      <c r="H8" s="203">
        <v>8.09573102978196</v>
      </c>
      <c r="I8" s="203">
        <v>0</v>
      </c>
      <c r="J8" s="203">
        <v>0</v>
      </c>
      <c r="K8" s="203">
        <v>0</v>
      </c>
      <c r="L8" s="203">
        <v>0</v>
      </c>
      <c r="M8" s="203">
        <v>0</v>
      </c>
      <c r="N8" s="203">
        <v>0</v>
      </c>
      <c r="O8" s="203">
        <v>0</v>
      </c>
      <c r="P8" s="203">
        <v>0</v>
      </c>
      <c r="Q8" s="203">
        <v>0</v>
      </c>
      <c r="R8" s="203">
        <v>17.8352817139978</v>
      </c>
      <c r="S8" s="203">
        <v>0</v>
      </c>
      <c r="T8" s="203">
        <v>0</v>
      </c>
      <c r="U8" s="203">
        <v>0</v>
      </c>
      <c r="Y8" s="219"/>
      <c r="Z8" s="203">
        <v>15.0824643150368</v>
      </c>
      <c r="AA8" s="203"/>
      <c r="AB8" s="203">
        <f t="shared" si="0"/>
        <v>82.1647182860022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42795</v>
      </c>
      <c r="C9" s="219" t="s">
        <v>171</v>
      </c>
      <c r="D9" s="203">
        <v>0</v>
      </c>
      <c r="E9" s="203">
        <v>0</v>
      </c>
      <c r="F9" s="203">
        <v>77.6689442177447</v>
      </c>
      <c r="G9" s="203">
        <v>0</v>
      </c>
      <c r="H9" s="203">
        <v>8.96939356570465</v>
      </c>
      <c r="I9" s="203">
        <v>0</v>
      </c>
      <c r="J9" s="203">
        <v>0</v>
      </c>
      <c r="K9" s="203">
        <v>0</v>
      </c>
      <c r="L9" s="203">
        <v>0</v>
      </c>
      <c r="M9" s="203">
        <v>0</v>
      </c>
      <c r="N9" s="203">
        <v>0</v>
      </c>
      <c r="O9" s="203">
        <v>0</v>
      </c>
      <c r="P9" s="203">
        <v>0</v>
      </c>
      <c r="Q9" s="203">
        <v>0</v>
      </c>
      <c r="R9" s="203">
        <v>13.3616622165507</v>
      </c>
      <c r="S9" s="203">
        <v>0</v>
      </c>
      <c r="T9" s="203">
        <v>0</v>
      </c>
      <c r="U9" s="203">
        <v>0</v>
      </c>
      <c r="Y9" s="219"/>
      <c r="Z9" s="203">
        <v>37.6619164813403</v>
      </c>
      <c r="AA9" s="203"/>
      <c r="AB9" s="203">
        <f t="shared" si="0"/>
        <v>86.6383377834493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42826</v>
      </c>
      <c r="C10" s="219" t="s">
        <v>172</v>
      </c>
      <c r="D10" s="203">
        <v>0</v>
      </c>
      <c r="E10" s="203">
        <v>0</v>
      </c>
      <c r="F10" s="203">
        <v>76.6177520698314</v>
      </c>
      <c r="G10" s="203">
        <v>0</v>
      </c>
      <c r="H10" s="203">
        <v>12.8621938894922</v>
      </c>
      <c r="I10" s="203">
        <v>0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10.5200540406763</v>
      </c>
      <c r="S10" s="203">
        <v>0</v>
      </c>
      <c r="T10" s="203">
        <v>0</v>
      </c>
      <c r="U10" s="203">
        <v>0</v>
      </c>
      <c r="Y10" s="219"/>
      <c r="Z10" s="203">
        <v>38.6246431588872</v>
      </c>
      <c r="AA10" s="203"/>
      <c r="AB10" s="203">
        <f t="shared" si="0"/>
        <v>89.4799459593237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42856</v>
      </c>
      <c r="C11" s="219" t="s">
        <v>173</v>
      </c>
      <c r="D11" s="203">
        <v>0</v>
      </c>
      <c r="E11" s="203">
        <v>0</v>
      </c>
      <c r="F11" s="203">
        <v>98.082264568946</v>
      </c>
      <c r="G11" s="203">
        <v>0</v>
      </c>
      <c r="H11" s="203">
        <v>1.91773543105398</v>
      </c>
      <c r="I11" s="203">
        <v>0</v>
      </c>
      <c r="J11" s="203">
        <v>0</v>
      </c>
      <c r="K11" s="203">
        <v>0</v>
      </c>
      <c r="L11" s="203">
        <v>0</v>
      </c>
      <c r="M11" s="203">
        <v>0</v>
      </c>
      <c r="N11" s="203">
        <v>0</v>
      </c>
      <c r="O11" s="203">
        <v>0</v>
      </c>
      <c r="P11" s="203">
        <v>0</v>
      </c>
      <c r="Q11" s="203">
        <v>0</v>
      </c>
      <c r="R11" s="203">
        <v>0</v>
      </c>
      <c r="S11" s="203">
        <v>0</v>
      </c>
      <c r="T11" s="203">
        <v>0</v>
      </c>
      <c r="U11" s="203">
        <v>0</v>
      </c>
      <c r="Y11" s="219"/>
      <c r="Z11" s="203">
        <v>35.6547311541252</v>
      </c>
      <c r="AA11" s="203"/>
      <c r="AB11" s="203">
        <f t="shared" si="0"/>
        <v>100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42887</v>
      </c>
      <c r="C12" s="219" t="s">
        <v>174</v>
      </c>
      <c r="D12" s="203">
        <v>0</v>
      </c>
      <c r="E12" s="203">
        <v>0</v>
      </c>
      <c r="F12" s="203">
        <v>100</v>
      </c>
      <c r="G12" s="203">
        <v>0</v>
      </c>
      <c r="H12" s="203">
        <v>0</v>
      </c>
      <c r="I12" s="203">
        <v>0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0</v>
      </c>
      <c r="Y12" s="219"/>
      <c r="Z12" s="203">
        <v>36.0666666666667</v>
      </c>
      <c r="AA12" s="203"/>
      <c r="AB12" s="203">
        <f t="shared" si="0"/>
        <v>100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42917</v>
      </c>
      <c r="C13" s="219" t="s">
        <v>175</v>
      </c>
      <c r="D13" s="203">
        <v>0</v>
      </c>
      <c r="E13" s="203">
        <v>0</v>
      </c>
      <c r="F13" s="203">
        <v>100</v>
      </c>
      <c r="G13" s="203">
        <v>0</v>
      </c>
      <c r="H13" s="203">
        <v>0</v>
      </c>
      <c r="I13" s="203">
        <v>0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Y13" s="219"/>
      <c r="Z13" s="203">
        <v>35.8516129032258</v>
      </c>
      <c r="AA13" s="203"/>
      <c r="AB13" s="203">
        <f t="shared" si="0"/>
        <v>100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42948</v>
      </c>
      <c r="C14" s="228" t="s">
        <v>176</v>
      </c>
      <c r="D14" s="203">
        <v>0</v>
      </c>
      <c r="E14" s="203">
        <v>0</v>
      </c>
      <c r="F14" s="203">
        <v>100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Y14" s="219"/>
      <c r="Z14" s="203">
        <v>33.6548387096774</v>
      </c>
      <c r="AA14" s="203"/>
      <c r="AB14" s="203">
        <f t="shared" si="0"/>
        <v>100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42979</v>
      </c>
      <c r="C15" s="228" t="s">
        <v>177</v>
      </c>
      <c r="D15" s="259">
        <v>0</v>
      </c>
      <c r="E15" s="259">
        <v>0</v>
      </c>
      <c r="F15" s="259">
        <v>87.8683521013309</v>
      </c>
      <c r="G15" s="259">
        <v>0</v>
      </c>
      <c r="H15" s="259">
        <v>0</v>
      </c>
      <c r="I15" s="259">
        <v>0</v>
      </c>
      <c r="J15" s="259">
        <v>0</v>
      </c>
      <c r="K15" s="259">
        <v>0</v>
      </c>
      <c r="L15" s="259">
        <v>0</v>
      </c>
      <c r="M15" s="259">
        <v>0</v>
      </c>
      <c r="N15" s="259">
        <v>0</v>
      </c>
      <c r="O15" s="259">
        <v>0</v>
      </c>
      <c r="P15" s="259">
        <v>0</v>
      </c>
      <c r="Q15" s="259">
        <v>0</v>
      </c>
      <c r="R15" s="259">
        <v>6.0698896709208</v>
      </c>
      <c r="S15" s="259">
        <v>0</v>
      </c>
      <c r="T15" s="259">
        <v>6.06175822774832</v>
      </c>
      <c r="U15" s="259">
        <v>0</v>
      </c>
      <c r="Z15" s="203">
        <v>36.842995867272</v>
      </c>
      <c r="AA15" s="203"/>
      <c r="AB15" s="203">
        <f t="shared" si="0"/>
        <v>87.8683521013309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22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42644</v>
      </c>
      <c r="E28" s="686">
        <v>0.19</v>
      </c>
      <c r="F28" s="251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42675</v>
      </c>
      <c r="E29" s="686">
        <v>0.175</v>
      </c>
      <c r="F29" s="251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42705</v>
      </c>
      <c r="E30" s="686">
        <v>0.165</v>
      </c>
      <c r="F30" s="251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42736</v>
      </c>
      <c r="E31" s="686">
        <v>0.18</v>
      </c>
      <c r="F31" s="251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42767</v>
      </c>
      <c r="E32" s="686">
        <v>0.146666666666667</v>
      </c>
      <c r="F32" s="251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42795</v>
      </c>
      <c r="E33" s="686">
        <v>0.19</v>
      </c>
      <c r="F33" s="251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42826</v>
      </c>
      <c r="E34" s="686">
        <v>0.185</v>
      </c>
      <c r="F34" s="251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42856</v>
      </c>
      <c r="E35" s="686">
        <v>0.155</v>
      </c>
      <c r="F35" s="251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42887</v>
      </c>
      <c r="E36" s="686">
        <v>0.18</v>
      </c>
      <c r="F36" s="251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42917</v>
      </c>
      <c r="E37" s="686">
        <v>0.18</v>
      </c>
      <c r="F37" s="251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42948</v>
      </c>
      <c r="E38" s="686">
        <v>0.19</v>
      </c>
      <c r="F38" s="251"/>
      <c r="G38" s="199"/>
      <c r="H38" s="191"/>
      <c r="I38" s="191"/>
      <c r="J38" s="191"/>
      <c r="AC38" s="694"/>
    </row>
    <row r="39" spans="1:29">
      <c r="A39" s="673"/>
      <c r="D39" s="682">
        <f t="shared" si="1"/>
        <v>42979</v>
      </c>
      <c r="E39" s="686">
        <v>0.21</v>
      </c>
      <c r="F39" s="251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Oct</v>
      </c>
      <c r="D49" s="223"/>
      <c r="E49" s="223">
        <v>541949</v>
      </c>
      <c r="F49" s="225">
        <v>760</v>
      </c>
      <c r="G49" s="225">
        <v>840</v>
      </c>
      <c r="H49" s="225">
        <f>E49/J49/F49*100</f>
        <v>95.8455362195812</v>
      </c>
      <c r="I49" s="226">
        <f>D49/J49/G49*100</f>
        <v>0</v>
      </c>
      <c r="J49">
        <v>744</v>
      </c>
    </row>
    <row r="50" spans="1:10">
      <c r="A50" s="673"/>
      <c r="B50" s="219"/>
      <c r="C50" s="219" t="str">
        <f t="shared" ref="C50:C60" si="2">C5</f>
        <v>Nov</v>
      </c>
      <c r="D50" s="251">
        <v>300241</v>
      </c>
      <c r="E50" s="251">
        <v>512905</v>
      </c>
      <c r="F50" s="199">
        <v>760</v>
      </c>
      <c r="G50" s="225">
        <v>840</v>
      </c>
      <c r="H50" s="225">
        <f t="shared" ref="H50:H60" si="3">E50/J50/F50*100</f>
        <v>93.7326388888889</v>
      </c>
      <c r="I50" s="226">
        <f t="shared" ref="I50:I60" si="4">D50/J50/G50*100</f>
        <v>49.6430224867725</v>
      </c>
      <c r="J50">
        <v>720</v>
      </c>
    </row>
    <row r="51" spans="1:10">
      <c r="A51" s="673"/>
      <c r="B51" s="219"/>
      <c r="C51" s="219" t="str">
        <f t="shared" si="2"/>
        <v>dec</v>
      </c>
      <c r="D51" s="251">
        <v>351000</v>
      </c>
      <c r="E51" s="251">
        <v>540958</v>
      </c>
      <c r="F51" s="199">
        <v>760</v>
      </c>
      <c r="G51" s="225">
        <v>840</v>
      </c>
      <c r="H51" s="225">
        <f t="shared" si="3"/>
        <v>95.6702744765139</v>
      </c>
      <c r="I51" s="226">
        <f t="shared" si="4"/>
        <v>56.1635944700461</v>
      </c>
      <c r="J51">
        <v>744</v>
      </c>
    </row>
    <row r="52" spans="1:10">
      <c r="A52" s="673"/>
      <c r="B52" s="219"/>
      <c r="C52" s="219" t="str">
        <f t="shared" si="2"/>
        <v>Jan</v>
      </c>
      <c r="D52" s="251">
        <v>279541</v>
      </c>
      <c r="E52" s="251">
        <v>416141</v>
      </c>
      <c r="F52" s="199">
        <v>760</v>
      </c>
      <c r="G52" s="225">
        <v>840</v>
      </c>
      <c r="H52" s="225">
        <f t="shared" si="3"/>
        <v>73.5959606677985</v>
      </c>
      <c r="I52" s="226">
        <f t="shared" si="4"/>
        <v>44.7294226830517</v>
      </c>
      <c r="J52">
        <v>744</v>
      </c>
    </row>
    <row r="53" spans="1:10">
      <c r="A53" s="673"/>
      <c r="B53" s="219"/>
      <c r="C53" s="219" t="str">
        <f t="shared" si="2"/>
        <v>Feb</v>
      </c>
      <c r="D53" s="251">
        <v>36238</v>
      </c>
      <c r="E53" s="251">
        <v>45058</v>
      </c>
      <c r="F53" s="199">
        <v>760</v>
      </c>
      <c r="G53" s="225">
        <v>840</v>
      </c>
      <c r="H53" s="225">
        <f t="shared" si="3"/>
        <v>8.82244674185464</v>
      </c>
      <c r="I53" s="226">
        <f t="shared" si="4"/>
        <v>6.41971371882086</v>
      </c>
      <c r="J53">
        <v>672</v>
      </c>
    </row>
    <row r="54" spans="1:10">
      <c r="A54" s="673"/>
      <c r="B54" s="219"/>
      <c r="C54" s="219" t="str">
        <f t="shared" si="2"/>
        <v>mar</v>
      </c>
      <c r="D54" s="251">
        <v>350971</v>
      </c>
      <c r="E54" s="251">
        <v>552582</v>
      </c>
      <c r="F54" s="199">
        <v>760</v>
      </c>
      <c r="G54" s="225">
        <v>840</v>
      </c>
      <c r="H54" s="225">
        <f t="shared" si="3"/>
        <v>97.7260186757216</v>
      </c>
      <c r="I54" s="226">
        <f t="shared" si="4"/>
        <v>56.1589541730671</v>
      </c>
      <c r="J54">
        <v>744</v>
      </c>
    </row>
    <row r="55" spans="1:10">
      <c r="A55" s="673"/>
      <c r="B55" s="219"/>
      <c r="C55" s="219" t="str">
        <f t="shared" si="2"/>
        <v>apr</v>
      </c>
      <c r="D55" s="251">
        <v>371584</v>
      </c>
      <c r="E55" s="251">
        <v>536539</v>
      </c>
      <c r="F55" s="199">
        <v>760</v>
      </c>
      <c r="G55" s="225">
        <v>840</v>
      </c>
      <c r="H55" s="225">
        <f t="shared" si="3"/>
        <v>98.0517178362573</v>
      </c>
      <c r="I55" s="226">
        <f t="shared" si="4"/>
        <v>61.4391534391534</v>
      </c>
      <c r="J55">
        <v>720</v>
      </c>
    </row>
    <row r="56" spans="1:10">
      <c r="A56" s="673"/>
      <c r="B56" s="219"/>
      <c r="C56" s="219" t="str">
        <f t="shared" si="2"/>
        <v>May</v>
      </c>
      <c r="D56" s="251">
        <v>427021</v>
      </c>
      <c r="E56" s="251">
        <v>560093</v>
      </c>
      <c r="F56" s="199">
        <v>760</v>
      </c>
      <c r="G56" s="225">
        <v>840</v>
      </c>
      <c r="H56" s="225">
        <f t="shared" si="3"/>
        <v>99.0543647425014</v>
      </c>
      <c r="I56" s="226">
        <f t="shared" si="4"/>
        <v>68.3277329749104</v>
      </c>
      <c r="J56">
        <v>744</v>
      </c>
    </row>
    <row r="57" spans="1:10">
      <c r="A57" s="673"/>
      <c r="B57" s="219"/>
      <c r="C57" s="219" t="str">
        <f t="shared" si="2"/>
        <v>June</v>
      </c>
      <c r="D57" s="251">
        <v>495609</v>
      </c>
      <c r="E57" s="251">
        <v>552988</v>
      </c>
      <c r="F57" s="199">
        <v>760</v>
      </c>
      <c r="G57" s="225">
        <v>840</v>
      </c>
      <c r="H57" s="225">
        <f t="shared" si="3"/>
        <v>101.057748538012</v>
      </c>
      <c r="I57" s="226">
        <f t="shared" si="4"/>
        <v>81.9459325396825</v>
      </c>
      <c r="J57">
        <v>720</v>
      </c>
    </row>
    <row r="58" spans="1:10">
      <c r="A58" s="673"/>
      <c r="B58" s="219"/>
      <c r="C58" s="219" t="str">
        <f t="shared" si="2"/>
        <v>July</v>
      </c>
      <c r="D58" s="251">
        <v>519321</v>
      </c>
      <c r="E58" s="251">
        <v>569051</v>
      </c>
      <c r="F58" s="199">
        <v>760</v>
      </c>
      <c r="G58" s="225">
        <v>840</v>
      </c>
      <c r="H58" s="225">
        <f t="shared" si="3"/>
        <v>100.638617713639</v>
      </c>
      <c r="I58" s="226">
        <f t="shared" si="4"/>
        <v>83.096678187404</v>
      </c>
      <c r="J58">
        <v>744</v>
      </c>
    </row>
    <row r="59" spans="1:10">
      <c r="A59" s="673"/>
      <c r="B59" s="219"/>
      <c r="C59" s="219" t="str">
        <f t="shared" si="2"/>
        <v>Aug</v>
      </c>
      <c r="D59" s="251">
        <v>470545</v>
      </c>
      <c r="E59" s="251">
        <v>545933</v>
      </c>
      <c r="F59" s="199">
        <v>760</v>
      </c>
      <c r="G59" s="225">
        <v>840</v>
      </c>
      <c r="H59" s="225">
        <f t="shared" si="3"/>
        <v>96.5501202603282</v>
      </c>
      <c r="I59" s="226">
        <f t="shared" si="4"/>
        <v>75.2920186891961</v>
      </c>
      <c r="J59">
        <v>744</v>
      </c>
    </row>
    <row r="60" spans="1:10">
      <c r="A60" s="673"/>
      <c r="B60" s="228"/>
      <c r="C60" s="224" t="str">
        <f t="shared" si="2"/>
        <v>Sep</v>
      </c>
      <c r="D60" s="252">
        <v>369602</v>
      </c>
      <c r="E60" s="252">
        <v>485456</v>
      </c>
      <c r="F60" s="199">
        <v>760</v>
      </c>
      <c r="G60" s="225">
        <v>840</v>
      </c>
      <c r="H60" s="225">
        <f t="shared" si="3"/>
        <v>88.7163742690059</v>
      </c>
      <c r="I60" s="226">
        <f t="shared" si="4"/>
        <v>61.1114417989418</v>
      </c>
      <c r="J60">
        <v>720</v>
      </c>
    </row>
    <row r="61" spans="1:12">
      <c r="A61" s="673"/>
      <c r="D61" s="684">
        <f>SUM(D49:D60)/8760</f>
        <v>453.387328767123</v>
      </c>
      <c r="E61" s="684">
        <f>SUM(E49:E60)/8760</f>
        <v>668.910159817352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  <row r="67" spans="1:19">
      <c r="A67" s="675"/>
      <c r="B67" s="676"/>
      <c r="C67" s="676"/>
      <c r="D67" s="676"/>
      <c r="E67" s="676"/>
      <c r="F67" s="676"/>
      <c r="G67" s="676"/>
      <c r="H67" s="676"/>
      <c r="I67" s="676"/>
      <c r="J67" s="676"/>
      <c r="K67" s="676"/>
      <c r="L67" s="676"/>
      <c r="M67" s="676"/>
      <c r="N67" s="676"/>
      <c r="O67" s="676"/>
      <c r="P67" s="676"/>
      <c r="Q67" s="676"/>
      <c r="R67" s="676"/>
      <c r="S67" s="676"/>
    </row>
  </sheetData>
  <mergeCells count="8">
    <mergeCell ref="C1:O1"/>
    <mergeCell ref="P1:AH1"/>
    <mergeCell ref="A20:O20"/>
    <mergeCell ref="A44:O44"/>
    <mergeCell ref="A67:S67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799981688894314"/>
  </sheetPr>
  <dimension ref="A1:N83"/>
  <sheetViews>
    <sheetView zoomScale="115" zoomScaleNormal="115" workbookViewId="0">
      <selection activeCell="I17" sqref="I17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60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800</v>
      </c>
      <c r="G3" s="22"/>
      <c r="H3" s="23" t="s">
        <v>187</v>
      </c>
      <c r="I3" s="5" t="s">
        <v>188</v>
      </c>
      <c r="J3" s="35">
        <v>5956286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760</v>
      </c>
      <c r="G4" s="217"/>
      <c r="H4" s="25" t="s">
        <v>187</v>
      </c>
      <c r="I4" s="7" t="s">
        <v>191</v>
      </c>
      <c r="J4" s="37">
        <v>3203080.11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87.1667198790701</v>
      </c>
      <c r="H6" s="27" t="s">
        <v>195</v>
      </c>
      <c r="I6" s="1"/>
      <c r="J6" s="40">
        <v>1110106.47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11.4656005623614</v>
      </c>
      <c r="H7" s="27" t="s">
        <v>195</v>
      </c>
      <c r="I7" s="1"/>
      <c r="J7" s="40">
        <v>146019.46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1.36767955856851</v>
      </c>
      <c r="H8" s="27" t="s">
        <v>195</v>
      </c>
      <c r="I8" s="1"/>
      <c r="J8" s="40">
        <v>17418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1273543.93</v>
      </c>
      <c r="K9" s="43" t="s">
        <v>196</v>
      </c>
      <c r="L9" s="12"/>
    </row>
    <row r="10" ht="21.75" customHeight="1" spans="1:13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  <c r="M10" t="s">
        <v>77</v>
      </c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44.601832780684</v>
      </c>
      <c r="H11" s="27" t="s">
        <v>195</v>
      </c>
      <c r="I11" s="1"/>
      <c r="J11" s="40">
        <v>485155.66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37.58</v>
      </c>
      <c r="F13" s="15" t="s">
        <v>204</v>
      </c>
      <c r="G13" s="31"/>
      <c r="H13" s="15"/>
      <c r="I13" s="15"/>
      <c r="J13" s="45">
        <v>472375.94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472375.94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58.0155624515128</v>
      </c>
      <c r="F15" s="15" t="s">
        <v>204</v>
      </c>
      <c r="G15" s="31"/>
      <c r="H15" s="15"/>
      <c r="I15" s="15"/>
      <c r="J15" s="45">
        <v>74782.06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4.57201374884295</v>
      </c>
      <c r="H16" s="27" t="s">
        <v>195</v>
      </c>
      <c r="I16" s="1"/>
      <c r="J16" s="40">
        <v>49732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14.5585155888919</v>
      </c>
      <c r="H17" s="27" t="s">
        <v>195</v>
      </c>
      <c r="I17" s="1"/>
      <c r="J17" s="40">
        <v>158360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24.3118945554553</v>
      </c>
      <c r="H18" s="27" t="s">
        <v>195</v>
      </c>
      <c r="I18" s="1"/>
      <c r="J18" s="40">
        <v>264452.21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11.9557433261258</v>
      </c>
      <c r="H19" s="27" t="s">
        <v>195</v>
      </c>
      <c r="I19" s="1"/>
      <c r="J19" s="40">
        <v>130048.39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53718.89</v>
      </c>
      <c r="K22" s="44" t="s">
        <v>196</v>
      </c>
      <c r="L22" s="17"/>
    </row>
    <row r="23" ht="21.75" customHeight="1" spans="1:14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800</v>
      </c>
      <c r="K23" s="44" t="s">
        <v>196</v>
      </c>
      <c r="L23" s="15"/>
      <c r="N23" t="s">
        <v>77</v>
      </c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1912.5</v>
      </c>
      <c r="K24" s="44" t="s">
        <v>196</v>
      </c>
      <c r="L24" s="15"/>
    </row>
    <row r="25" ht="21.75" customHeight="1" spans="1:13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  <c r="M25" t="s">
        <v>77</v>
      </c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14186.5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350.5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221</v>
      </c>
      <c r="E29" s="15"/>
      <c r="F29" s="15"/>
      <c r="G29" s="31"/>
      <c r="H29" s="15"/>
      <c r="I29" s="15"/>
      <c r="J29" s="45">
        <v>0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220</v>
      </c>
      <c r="E30" s="15"/>
      <c r="F30" s="15"/>
      <c r="G30" s="31"/>
      <c r="H30" s="15"/>
      <c r="I30" s="15"/>
      <c r="J30" s="45">
        <v>59080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1087748.26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21.3815107266508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18.2621898948439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3.11932083180693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185795.67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799981688894314"/>
  </sheetPr>
  <dimension ref="A1:T64"/>
  <sheetViews>
    <sheetView zoomScale="115" zoomScaleNormal="115" topLeftCell="A30" workbookViewId="0">
      <selection activeCell="K55" sqref="K55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65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244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245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6" t="s">
        <v>7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246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11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247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/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68"/>
      <c r="F14" s="68"/>
      <c r="G14" s="68"/>
      <c r="H14" s="64"/>
      <c r="I14" s="57" t="s">
        <v>248</v>
      </c>
      <c r="J14" s="64"/>
      <c r="K14" s="119">
        <v>14095.1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3300</v>
      </c>
      <c r="E15" s="69"/>
      <c r="F15" s="69"/>
      <c r="G15" s="69"/>
      <c r="H15" s="98">
        <f>IFERROR(D15*D14,0)+IFERROR(E15*E14,0)+IFERROR(F15*F14,0)+IFERROR(G15*G14,0)</f>
        <v>3300</v>
      </c>
      <c r="I15" s="57" t="s">
        <v>249</v>
      </c>
      <c r="J15" s="64"/>
      <c r="K15" s="121">
        <v>38.6167123287671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3000</v>
      </c>
      <c r="E16" s="69"/>
      <c r="F16" s="69"/>
      <c r="G16" s="69"/>
      <c r="H16" s="98">
        <f t="array" ref="H16">IFERROR(D16*D14,0)+IFERROR(E16*E14,0)+IFERROR(F16*F14,0)+IFERROR(G16*G14,0)</f>
        <v>3000</v>
      </c>
      <c r="I16" s="56" t="s">
        <v>157</v>
      </c>
      <c r="J16" s="56"/>
      <c r="K16" s="122">
        <v>9.44583578690467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/>
      <c r="F17" s="70"/>
      <c r="G17" s="70"/>
      <c r="H17" s="98"/>
      <c r="I17" s="56" t="s">
        <v>58</v>
      </c>
      <c r="J17" s="56"/>
      <c r="K17" s="124">
        <v>22.0161616448269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1100</v>
      </c>
      <c r="E18" s="71"/>
      <c r="F18" s="71"/>
      <c r="G18" s="71"/>
      <c r="H18" s="98">
        <f>IFERROR(D18,0)+IFERROR(E18,0)+IFERROR(F18,0)+IFERROR(G18,0)</f>
        <v>1100</v>
      </c>
      <c r="I18" s="56" t="s">
        <v>155</v>
      </c>
      <c r="J18" s="56"/>
      <c r="K18" s="124">
        <v>51.365368106647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155</v>
      </c>
      <c r="J19" s="56"/>
      <c r="K19" s="124">
        <v>0.262502571815737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64</v>
      </c>
      <c r="J20" s="56"/>
      <c r="K20" s="124">
        <v>0.161758341551319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7.39722928462061</v>
      </c>
      <c r="E21" s="77"/>
      <c r="F21" s="77"/>
      <c r="G21" s="77"/>
      <c r="H21" s="102"/>
      <c r="I21" s="56" t="s">
        <v>250</v>
      </c>
      <c r="J21" s="56"/>
      <c r="K21" s="124">
        <v>10.8626402082993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72.3255690346537</v>
      </c>
      <c r="E22" s="77"/>
      <c r="F22" s="77"/>
      <c r="G22" s="77"/>
      <c r="H22" s="78"/>
      <c r="I22" s="57" t="s">
        <v>251</v>
      </c>
      <c r="J22" s="56"/>
      <c r="K22" s="124">
        <v>5.88573333995502</v>
      </c>
      <c r="L22" s="123" t="s">
        <v>59</v>
      </c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5"/>
      <c r="H23" s="75">
        <f>K15*K24*K25/10/H16</f>
        <v>2.30108305138382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699"/>
      <c r="H24" s="77">
        <f>H16/K15</f>
        <v>77.686571929252</v>
      </c>
      <c r="I24" s="127" t="s">
        <v>80</v>
      </c>
      <c r="J24" s="56"/>
      <c r="K24" s="122">
        <v>19.5530079376244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77" t="s">
        <v>252</v>
      </c>
      <c r="I25" s="128" t="s">
        <v>83</v>
      </c>
      <c r="J25" s="56"/>
      <c r="K25" s="122">
        <v>91.4249380743772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253</v>
      </c>
      <c r="I26" s="57" t="s">
        <v>86</v>
      </c>
      <c r="J26" s="56"/>
      <c r="K26" s="122">
        <v>68.6883253967943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5"/>
      <c r="H27" s="75" t="s">
        <v>254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5"/>
      <c r="H28" s="75" t="s">
        <v>255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7.74055555555556</v>
      </c>
      <c r="E29" s="75"/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 t="s">
        <v>256</v>
      </c>
      <c r="E30" s="77"/>
      <c r="F30" s="77"/>
      <c r="G30" s="77"/>
      <c r="H30" s="78"/>
      <c r="I30" s="66" t="s">
        <v>96</v>
      </c>
      <c r="J30" s="92"/>
      <c r="K30" s="135">
        <v>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2.26</v>
      </c>
      <c r="E31" s="75"/>
      <c r="F31" s="75"/>
      <c r="G31" s="80"/>
      <c r="H31" s="78"/>
      <c r="I31" s="66" t="s">
        <v>99</v>
      </c>
      <c r="J31" s="92"/>
      <c r="K31" s="135">
        <v>4000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4.47166666666667</v>
      </c>
      <c r="E32" s="75"/>
      <c r="F32" s="75"/>
      <c r="G32" s="80"/>
      <c r="H32" s="78"/>
      <c r="I32" s="66" t="s">
        <v>66</v>
      </c>
      <c r="J32" s="92"/>
      <c r="K32" s="135">
        <v>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210</v>
      </c>
      <c r="E33" s="80"/>
      <c r="F33" s="80"/>
      <c r="G33" s="80"/>
      <c r="H33" s="78"/>
      <c r="I33" s="57" t="s">
        <v>103</v>
      </c>
      <c r="J33" s="64"/>
      <c r="K33" s="136">
        <v>11.6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0.15</v>
      </c>
      <c r="E34" s="80"/>
      <c r="F34" s="80"/>
      <c r="G34" s="80"/>
      <c r="H34" s="78"/>
      <c r="I34" s="66" t="s">
        <v>105</v>
      </c>
      <c r="J34" s="64"/>
      <c r="K34" s="137">
        <v>7.33310351090222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72.3255690346537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63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52.0082191780822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145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705">
        <v>0.159726027397261</v>
      </c>
    </row>
    <row r="43" ht="15" customHeight="1" spans="1:12">
      <c r="A43" s="157"/>
      <c r="B43" s="66" t="s">
        <v>121</v>
      </c>
      <c r="C43" s="64" t="s">
        <v>122</v>
      </c>
      <c r="D43" s="77">
        <v>400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4.02472527472527</v>
      </c>
    </row>
    <row r="44" ht="15" customHeight="1" spans="1:17">
      <c r="A44" s="157"/>
      <c r="B44" s="66" t="s">
        <v>125</v>
      </c>
      <c r="C44" s="64" t="s">
        <v>122</v>
      </c>
      <c r="D44" s="77">
        <v>383</v>
      </c>
      <c r="E44" s="77"/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42.6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40.8</v>
      </c>
      <c r="E46" s="78"/>
      <c r="F46" s="78"/>
      <c r="G46" s="78"/>
      <c r="H46" s="102"/>
      <c r="I46" s="66"/>
      <c r="J46" s="64" t="s">
        <v>131</v>
      </c>
      <c r="K46" s="79">
        <v>117.821370547211</v>
      </c>
      <c r="L46" s="147">
        <v>61.2529246122518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9">
        <v>681.877868865296</v>
      </c>
      <c r="L47" s="147">
        <v>354.494379944704</v>
      </c>
    </row>
    <row r="48" ht="15" customHeight="1" spans="1:13">
      <c r="A48" s="157"/>
      <c r="B48" s="66" t="s">
        <v>135</v>
      </c>
      <c r="C48" s="64" t="s">
        <v>240</v>
      </c>
      <c r="D48" s="69">
        <v>8642</v>
      </c>
      <c r="E48" s="69"/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3453180/400</f>
        <v>8632.95</v>
      </c>
      <c r="E49" s="69"/>
      <c r="F49" s="78"/>
      <c r="G49" s="69"/>
      <c r="H49" s="98"/>
      <c r="I49" s="66"/>
      <c r="J49" s="64" t="s">
        <v>139</v>
      </c>
      <c r="K49" s="150">
        <f>3333398/365</f>
        <v>9132.59726027397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96.4301666280954</v>
      </c>
      <c r="E50" s="78"/>
      <c r="F50" s="78"/>
      <c r="G50" s="78"/>
      <c r="H50" s="102"/>
      <c r="I50" s="66"/>
      <c r="J50" s="64" t="s">
        <v>141</v>
      </c>
      <c r="K50" s="150">
        <v>236.493391320388</v>
      </c>
      <c r="L50" s="120"/>
      <c r="N50" s="179"/>
      <c r="R50" s="182"/>
      <c r="S50" s="182"/>
      <c r="T50" s="182"/>
    </row>
    <row r="51" ht="15" customHeight="1" spans="1:14">
      <c r="A51" s="157"/>
      <c r="B51" s="84"/>
      <c r="C51" s="56"/>
      <c r="D51" s="78"/>
      <c r="E51" s="107"/>
      <c r="F51" s="78"/>
      <c r="G51" s="78"/>
      <c r="H51" s="102"/>
      <c r="I51" s="64"/>
      <c r="J51" s="64"/>
      <c r="K51" s="143"/>
      <c r="L51" s="120"/>
      <c r="N51" s="179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116899</v>
      </c>
      <c r="D55" s="69">
        <v>3.50690196610186</v>
      </c>
      <c r="E55" s="111" t="s">
        <v>147</v>
      </c>
      <c r="F55" s="64"/>
      <c r="G55" s="64" t="s">
        <v>148</v>
      </c>
      <c r="H55" s="64"/>
      <c r="I55" s="69">
        <v>0</v>
      </c>
      <c r="J55" s="69">
        <v>0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257</v>
      </c>
      <c r="H56" s="64"/>
      <c r="I56" s="69">
        <v>1509822</v>
      </c>
      <c r="J56" s="69">
        <v>47.3042102356582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258</v>
      </c>
      <c r="H57" s="64"/>
      <c r="I57" s="69">
        <v>674958</v>
      </c>
      <c r="J57" s="69">
        <v>21.1470988846628</v>
      </c>
      <c r="K57" s="111" t="s">
        <v>149</v>
      </c>
      <c r="L57" s="114"/>
    </row>
    <row r="58" ht="15" customHeight="1" spans="1:12">
      <c r="A58" s="157"/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G61"/>
      <c r="H61"/>
    </row>
    <row r="62" ht="16.8" spans="7:8">
      <c r="G62"/>
      <c r="H62"/>
    </row>
    <row r="64" spans="5:5">
      <c r="E64" s="156" t="s">
        <v>77</v>
      </c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799981688894314"/>
  </sheetPr>
  <dimension ref="A1:AJ67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158</v>
      </c>
      <c r="K2" t="s">
        <v>250</v>
      </c>
      <c r="L2" t="s">
        <v>159</v>
      </c>
      <c r="M2" t="s">
        <v>159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64</v>
      </c>
      <c r="T2" t="s">
        <v>251</v>
      </c>
      <c r="U2" t="s">
        <v>159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42644</v>
      </c>
      <c r="C4" s="219" t="s">
        <v>166</v>
      </c>
      <c r="D4" s="674">
        <v>0</v>
      </c>
      <c r="E4" s="674">
        <v>51.2092130518234</v>
      </c>
      <c r="F4" s="674">
        <v>0</v>
      </c>
      <c r="G4" s="674">
        <v>0</v>
      </c>
      <c r="H4" s="674">
        <v>0</v>
      </c>
      <c r="I4" s="674">
        <v>17.0134357005758</v>
      </c>
      <c r="J4" s="674">
        <v>0</v>
      </c>
      <c r="K4" s="674">
        <v>31.7773512476008</v>
      </c>
      <c r="L4" s="674">
        <v>0</v>
      </c>
      <c r="M4" s="674">
        <v>0</v>
      </c>
      <c r="N4" s="674">
        <v>0</v>
      </c>
      <c r="O4" s="674">
        <v>0</v>
      </c>
      <c r="P4" s="674">
        <v>0</v>
      </c>
      <c r="Q4" s="674">
        <v>0</v>
      </c>
      <c r="R4" s="674">
        <v>0</v>
      </c>
      <c r="S4" s="674">
        <v>0</v>
      </c>
      <c r="T4" s="674">
        <v>0</v>
      </c>
      <c r="U4" s="674">
        <v>0</v>
      </c>
      <c r="Y4" s="219"/>
      <c r="Z4" s="203">
        <v>42.0161290322581</v>
      </c>
      <c r="AA4" s="203"/>
      <c r="AB4" s="203">
        <f>SUM(D4:O4)</f>
        <v>100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42675</v>
      </c>
      <c r="C5" s="219" t="s">
        <v>167</v>
      </c>
      <c r="D5" s="203">
        <v>1.08952702702703</v>
      </c>
      <c r="E5" s="203">
        <v>47.972972972973</v>
      </c>
      <c r="F5" s="203">
        <v>0</v>
      </c>
      <c r="G5" s="203">
        <v>0</v>
      </c>
      <c r="H5" s="203">
        <v>0</v>
      </c>
      <c r="I5" s="203">
        <v>20.3125</v>
      </c>
      <c r="J5" s="203">
        <v>0</v>
      </c>
      <c r="K5" s="203">
        <v>30.625</v>
      </c>
      <c r="L5" s="203">
        <v>0</v>
      </c>
      <c r="M5" s="203">
        <v>0</v>
      </c>
      <c r="N5" s="203">
        <v>0</v>
      </c>
      <c r="O5" s="203">
        <v>0</v>
      </c>
      <c r="P5" s="203">
        <v>0</v>
      </c>
      <c r="Q5" s="203">
        <v>0</v>
      </c>
      <c r="R5" s="203">
        <v>0</v>
      </c>
      <c r="S5" s="203">
        <v>0</v>
      </c>
      <c r="T5" s="203">
        <v>0</v>
      </c>
      <c r="U5" s="203">
        <v>0</v>
      </c>
      <c r="Y5" s="219"/>
      <c r="Z5" s="203">
        <v>39.4666666666667</v>
      </c>
      <c r="AA5" s="203"/>
      <c r="AB5" s="203">
        <f t="shared" ref="AB5:AB15" si="0">SUM(D5:O5)</f>
        <v>100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42705</v>
      </c>
      <c r="C6" s="219" t="s">
        <v>168</v>
      </c>
      <c r="D6" s="203">
        <v>0</v>
      </c>
      <c r="E6" s="203">
        <v>50.5857708123206</v>
      </c>
      <c r="F6" s="203">
        <v>10.3033594537978</v>
      </c>
      <c r="G6" s="203">
        <v>0</v>
      </c>
      <c r="H6" s="203">
        <v>0</v>
      </c>
      <c r="I6" s="203">
        <v>7.5568314066258</v>
      </c>
      <c r="J6" s="203">
        <v>0</v>
      </c>
      <c r="K6" s="203">
        <v>31.5540383272558</v>
      </c>
      <c r="L6" s="203">
        <v>0</v>
      </c>
      <c r="M6" s="203">
        <v>0</v>
      </c>
      <c r="N6" s="203">
        <v>0</v>
      </c>
      <c r="O6" s="203">
        <v>0</v>
      </c>
      <c r="P6" s="203">
        <v>0</v>
      </c>
      <c r="Q6" s="203">
        <v>0</v>
      </c>
      <c r="R6" s="203">
        <v>0</v>
      </c>
      <c r="S6" s="203">
        <v>0</v>
      </c>
      <c r="T6" s="203">
        <v>0</v>
      </c>
      <c r="U6" s="203">
        <v>0</v>
      </c>
      <c r="Y6" s="219"/>
      <c r="Z6" s="203">
        <v>41.5774193548387</v>
      </c>
      <c r="AA6" s="203"/>
      <c r="AB6" s="203">
        <f t="shared" si="0"/>
        <v>100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42736</v>
      </c>
      <c r="C7" s="219" t="s">
        <v>169</v>
      </c>
      <c r="D7" s="203">
        <v>0</v>
      </c>
      <c r="E7" s="203">
        <v>49.8917141252908</v>
      </c>
      <c r="F7" s="203">
        <v>24.0154006577364</v>
      </c>
      <c r="G7" s="203">
        <v>0</v>
      </c>
      <c r="H7" s="203">
        <v>0</v>
      </c>
      <c r="I7" s="203">
        <v>5.46242079088795</v>
      </c>
      <c r="J7" s="203">
        <v>0</v>
      </c>
      <c r="K7" s="203">
        <v>20.6304644260849</v>
      </c>
      <c r="L7" s="203">
        <v>0</v>
      </c>
      <c r="M7" s="203">
        <v>0</v>
      </c>
      <c r="N7" s="203">
        <v>0</v>
      </c>
      <c r="O7" s="203">
        <v>0</v>
      </c>
      <c r="P7" s="203">
        <v>0</v>
      </c>
      <c r="Q7" s="203">
        <v>0</v>
      </c>
      <c r="R7" s="203">
        <v>0</v>
      </c>
      <c r="S7" s="203">
        <v>0</v>
      </c>
      <c r="T7" s="203">
        <v>0</v>
      </c>
      <c r="U7" s="203">
        <v>0</v>
      </c>
      <c r="Y7" s="219"/>
      <c r="Z7" s="203">
        <v>40.2161290322581</v>
      </c>
      <c r="AA7" s="203"/>
      <c r="AB7" s="203">
        <f t="shared" si="0"/>
        <v>100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42767</v>
      </c>
      <c r="C8" s="219" t="s">
        <v>170</v>
      </c>
      <c r="D8" s="203">
        <v>0</v>
      </c>
      <c r="E8" s="203">
        <v>47.7060690583822</v>
      </c>
      <c r="F8" s="203">
        <v>36.308550543426</v>
      </c>
      <c r="G8" s="203">
        <v>0</v>
      </c>
      <c r="H8" s="203">
        <v>0</v>
      </c>
      <c r="I8" s="203">
        <v>7.2617101086852</v>
      </c>
      <c r="J8" s="203">
        <v>0</v>
      </c>
      <c r="K8" s="203">
        <v>8.72367028950659</v>
      </c>
      <c r="L8" s="203">
        <v>0</v>
      </c>
      <c r="M8" s="203">
        <v>0</v>
      </c>
      <c r="N8" s="203">
        <v>0</v>
      </c>
      <c r="O8" s="203">
        <v>0</v>
      </c>
      <c r="P8" s="203">
        <v>0</v>
      </c>
      <c r="Q8" s="203">
        <v>0</v>
      </c>
      <c r="R8" s="203">
        <v>0</v>
      </c>
      <c r="S8" s="203">
        <v>0</v>
      </c>
      <c r="T8" s="203">
        <v>0</v>
      </c>
      <c r="U8" s="203">
        <v>0</v>
      </c>
      <c r="Y8" s="219"/>
      <c r="Z8" s="203">
        <v>37.1321428571429</v>
      </c>
      <c r="AA8" s="203"/>
      <c r="AB8" s="203">
        <f t="shared" si="0"/>
        <v>100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42795</v>
      </c>
      <c r="C9" s="219" t="s">
        <v>171</v>
      </c>
      <c r="D9" s="203">
        <v>0</v>
      </c>
      <c r="E9" s="203">
        <v>42.93921983671</v>
      </c>
      <c r="F9" s="203">
        <v>47.1222659006148</v>
      </c>
      <c r="G9" s="203">
        <v>0</v>
      </c>
      <c r="H9" s="203">
        <v>0</v>
      </c>
      <c r="I9" s="203">
        <v>9.93851426267513</v>
      </c>
      <c r="J9" s="203">
        <v>0</v>
      </c>
      <c r="K9" s="203">
        <v>0</v>
      </c>
      <c r="L9" s="203">
        <v>0</v>
      </c>
      <c r="M9" s="203">
        <v>0</v>
      </c>
      <c r="N9" s="203">
        <v>0</v>
      </c>
      <c r="O9" s="203">
        <v>0</v>
      </c>
      <c r="P9" s="203">
        <v>0</v>
      </c>
      <c r="Q9" s="203">
        <v>0</v>
      </c>
      <c r="R9" s="203">
        <v>0</v>
      </c>
      <c r="S9" s="203">
        <v>0</v>
      </c>
      <c r="T9" s="203">
        <v>0</v>
      </c>
      <c r="U9" s="203">
        <v>0</v>
      </c>
      <c r="Y9" s="219"/>
      <c r="Z9" s="203">
        <v>32.0032258064516</v>
      </c>
      <c r="AA9" s="203"/>
      <c r="AB9" s="203">
        <f t="shared" si="0"/>
        <v>100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42826</v>
      </c>
      <c r="C10" s="219" t="s">
        <v>172</v>
      </c>
      <c r="D10" s="203">
        <v>0</v>
      </c>
      <c r="E10" s="203">
        <v>51.4932126696833</v>
      </c>
      <c r="F10" s="203">
        <v>38.6696832579185</v>
      </c>
      <c r="G10" s="203">
        <v>0</v>
      </c>
      <c r="H10" s="203">
        <v>0</v>
      </c>
      <c r="I10" s="203">
        <v>9.83710407239819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0</v>
      </c>
      <c r="S10" s="203">
        <v>0</v>
      </c>
      <c r="T10" s="203">
        <v>0</v>
      </c>
      <c r="U10" s="203">
        <v>0</v>
      </c>
      <c r="Y10" s="219"/>
      <c r="Z10" s="203">
        <v>36.8333333333333</v>
      </c>
      <c r="AA10" s="203"/>
      <c r="AB10" s="203">
        <f t="shared" si="0"/>
        <v>100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42856</v>
      </c>
      <c r="C11" s="219" t="s">
        <v>173</v>
      </c>
      <c r="D11" s="203">
        <v>1.86330143135428</v>
      </c>
      <c r="E11" s="203">
        <v>53.4428728720251</v>
      </c>
      <c r="F11" s="203">
        <v>35.8516134496485</v>
      </c>
      <c r="G11" s="203">
        <v>0</v>
      </c>
      <c r="H11" s="203">
        <v>0</v>
      </c>
      <c r="I11" s="203">
        <v>8.84221224697214</v>
      </c>
      <c r="J11" s="203">
        <v>0</v>
      </c>
      <c r="K11" s="203">
        <v>0</v>
      </c>
      <c r="L11" s="203">
        <v>0</v>
      </c>
      <c r="M11" s="203">
        <v>0</v>
      </c>
      <c r="N11" s="203">
        <v>0</v>
      </c>
      <c r="O11" s="203">
        <v>0</v>
      </c>
      <c r="P11" s="203">
        <v>0</v>
      </c>
      <c r="Q11" s="203">
        <v>0</v>
      </c>
      <c r="R11" s="203">
        <v>0</v>
      </c>
      <c r="S11" s="203">
        <v>0</v>
      </c>
      <c r="T11" s="203">
        <v>0</v>
      </c>
      <c r="U11" s="203">
        <v>0</v>
      </c>
      <c r="Y11" s="219"/>
      <c r="Z11" s="203">
        <v>38.0870967741935</v>
      </c>
      <c r="AA11" s="203"/>
      <c r="AB11" s="203">
        <f t="shared" si="0"/>
        <v>100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42887</v>
      </c>
      <c r="C12" s="219" t="s">
        <v>174</v>
      </c>
      <c r="D12" s="203">
        <v>0</v>
      </c>
      <c r="E12" s="203">
        <v>53.763440860215</v>
      </c>
      <c r="F12" s="203">
        <v>37.8985097151481</v>
      </c>
      <c r="G12" s="203">
        <v>0</v>
      </c>
      <c r="H12" s="203">
        <v>0</v>
      </c>
      <c r="I12" s="203">
        <v>7.87587247689115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0.462176947745708</v>
      </c>
      <c r="T12" s="203">
        <v>0</v>
      </c>
      <c r="U12" s="203">
        <v>0</v>
      </c>
      <c r="Y12" s="219"/>
      <c r="Z12" s="203">
        <v>35.34</v>
      </c>
      <c r="AA12" s="203"/>
      <c r="AB12" s="203">
        <f t="shared" si="0"/>
        <v>99.5378230522543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42917</v>
      </c>
      <c r="C13" s="219" t="s">
        <v>175</v>
      </c>
      <c r="D13" s="203">
        <v>0.168255748738082</v>
      </c>
      <c r="E13" s="203">
        <v>54.88342280266</v>
      </c>
      <c r="F13" s="203">
        <v>26.0315679833347</v>
      </c>
      <c r="G13" s="203">
        <v>0</v>
      </c>
      <c r="H13" s="203">
        <v>0</v>
      </c>
      <c r="I13" s="203">
        <v>9.99118660363753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0.176267927249419</v>
      </c>
      <c r="T13" s="203">
        <v>8.74929893438026</v>
      </c>
      <c r="U13" s="203">
        <v>0</v>
      </c>
      <c r="Y13" s="219"/>
      <c r="Z13" s="203">
        <v>40.2612903225806</v>
      </c>
      <c r="AA13" s="203"/>
      <c r="AB13" s="203">
        <f t="shared" si="0"/>
        <v>91.0744331383703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42948</v>
      </c>
      <c r="C14" s="228" t="s">
        <v>176</v>
      </c>
      <c r="D14" s="203">
        <v>0</v>
      </c>
      <c r="E14" s="203">
        <v>55.7844690966719</v>
      </c>
      <c r="F14" s="203">
        <v>15.7923930269414</v>
      </c>
      <c r="G14" s="203">
        <v>0</v>
      </c>
      <c r="H14" s="203">
        <v>0</v>
      </c>
      <c r="I14" s="203">
        <v>4.95245641838352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0.467511885895404</v>
      </c>
      <c r="T14" s="203">
        <v>23.0031695721078</v>
      </c>
      <c r="U14" s="203">
        <v>0</v>
      </c>
      <c r="Y14" s="219"/>
      <c r="Z14" s="203">
        <v>40.7096774193548</v>
      </c>
      <c r="AA14" s="203"/>
      <c r="AB14" s="203">
        <f t="shared" si="0"/>
        <v>76.5293185419968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42979</v>
      </c>
      <c r="C15" s="228" t="s">
        <v>177</v>
      </c>
      <c r="D15" s="259">
        <v>0</v>
      </c>
      <c r="E15" s="259">
        <v>54.8430644616942</v>
      </c>
      <c r="F15" s="259">
        <v>4.16807289908876</v>
      </c>
      <c r="G15" s="259">
        <v>0</v>
      </c>
      <c r="H15" s="259">
        <v>0</v>
      </c>
      <c r="I15" s="259">
        <v>3.87276409044887</v>
      </c>
      <c r="J15" s="259">
        <v>0</v>
      </c>
      <c r="K15" s="259">
        <v>0</v>
      </c>
      <c r="L15" s="259">
        <v>0</v>
      </c>
      <c r="M15" s="259">
        <v>0</v>
      </c>
      <c r="N15" s="259">
        <v>0</v>
      </c>
      <c r="O15" s="259">
        <v>0</v>
      </c>
      <c r="P15" s="259">
        <v>0</v>
      </c>
      <c r="Q15" s="259">
        <v>0</v>
      </c>
      <c r="R15" s="259">
        <v>0</v>
      </c>
      <c r="S15" s="259">
        <v>0.826864664191698</v>
      </c>
      <c r="T15" s="259">
        <v>36.2892338845764</v>
      </c>
      <c r="U15" s="259">
        <v>0</v>
      </c>
      <c r="Z15" s="203">
        <v>39.5066666666667</v>
      </c>
      <c r="AA15" s="203"/>
      <c r="AB15" s="203">
        <f t="shared" si="0"/>
        <v>62.8839014512319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259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42644</v>
      </c>
      <c r="E28" s="686">
        <v>0.155</v>
      </c>
      <c r="F28" s="251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42675</v>
      </c>
      <c r="E29" s="686">
        <v>0.145</v>
      </c>
      <c r="F29" s="251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42705</v>
      </c>
      <c r="E30" s="686">
        <v>0.14</v>
      </c>
      <c r="F30" s="251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42736</v>
      </c>
      <c r="E31" s="686">
        <v>0.165</v>
      </c>
      <c r="F31" s="251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42767</v>
      </c>
      <c r="E32" s="686">
        <v>0.155</v>
      </c>
      <c r="F32" s="251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42795</v>
      </c>
      <c r="E33" s="686">
        <v>0.15</v>
      </c>
      <c r="F33" s="251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42826</v>
      </c>
      <c r="E34" s="686">
        <v>0.295</v>
      </c>
      <c r="F34" s="251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42856</v>
      </c>
      <c r="E35" s="686">
        <v>0.15</v>
      </c>
      <c r="F35" s="251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42887</v>
      </c>
      <c r="E36" s="686">
        <v>0.12</v>
      </c>
      <c r="F36" s="251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42917</v>
      </c>
      <c r="E37" s="686">
        <v>0.17</v>
      </c>
      <c r="F37" s="251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42948</v>
      </c>
      <c r="E38" s="686">
        <v>0.14</v>
      </c>
      <c r="F38" s="251"/>
      <c r="G38" s="199"/>
      <c r="H38" s="191"/>
      <c r="I38" s="191"/>
      <c r="J38" s="191"/>
      <c r="AC38" s="694"/>
    </row>
    <row r="39" spans="1:29">
      <c r="A39" s="673"/>
      <c r="D39" s="682">
        <f t="shared" si="1"/>
        <v>42979</v>
      </c>
      <c r="E39" s="686"/>
      <c r="F39" s="251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Oct</v>
      </c>
      <c r="D49" s="223">
        <v>181525</v>
      </c>
      <c r="E49" s="223">
        <v>282112</v>
      </c>
      <c r="F49" s="225">
        <v>380</v>
      </c>
      <c r="G49" s="225"/>
      <c r="H49" s="225">
        <f>E49/J49/F49*100</f>
        <v>99.7849462365591</v>
      </c>
      <c r="I49" s="226" t="e">
        <f>D49/J49/G49*100</f>
        <v>#DIV/0!</v>
      </c>
      <c r="J49">
        <v>744</v>
      </c>
    </row>
    <row r="50" spans="1:10">
      <c r="A50" s="673"/>
      <c r="B50" s="219"/>
      <c r="C50" s="219" t="str">
        <f t="shared" ref="C50:C60" si="2">C5</f>
        <v>Nov</v>
      </c>
      <c r="D50" s="251">
        <v>181525</v>
      </c>
      <c r="E50" s="251">
        <v>272989</v>
      </c>
      <c r="F50" s="199">
        <v>380</v>
      </c>
      <c r="G50" s="225"/>
      <c r="H50" s="225">
        <f t="shared" ref="H50:H60" si="3">E50/J50/F50*100</f>
        <v>99.7766812865497</v>
      </c>
      <c r="I50" s="226" t="e">
        <f t="shared" ref="I50:I60" si="4">D50/J50/G50*100</f>
        <v>#DIV/0!</v>
      </c>
      <c r="J50">
        <v>720</v>
      </c>
    </row>
    <row r="51" spans="1:10">
      <c r="A51" s="673"/>
      <c r="B51" s="219"/>
      <c r="C51" s="219" t="str">
        <f t="shared" si="2"/>
        <v>dec</v>
      </c>
      <c r="D51" s="251">
        <v>181525</v>
      </c>
      <c r="E51" s="251">
        <v>284245</v>
      </c>
      <c r="F51" s="199">
        <v>380</v>
      </c>
      <c r="G51" s="225"/>
      <c r="H51" s="225">
        <f t="shared" si="3"/>
        <v>100.539402942841</v>
      </c>
      <c r="I51" s="226" t="e">
        <f t="shared" si="4"/>
        <v>#DIV/0!</v>
      </c>
      <c r="J51">
        <v>744</v>
      </c>
    </row>
    <row r="52" spans="1:10">
      <c r="A52" s="673"/>
      <c r="B52" s="219"/>
      <c r="C52" s="219" t="str">
        <f t="shared" si="2"/>
        <v>Jan</v>
      </c>
      <c r="D52" s="251">
        <v>182245</v>
      </c>
      <c r="E52" s="251">
        <v>285093</v>
      </c>
      <c r="F52" s="199">
        <v>380</v>
      </c>
      <c r="G52" s="225"/>
      <c r="H52" s="225">
        <f t="shared" si="3"/>
        <v>100.839346349745</v>
      </c>
      <c r="I52" s="226" t="e">
        <f t="shared" si="4"/>
        <v>#DIV/0!</v>
      </c>
      <c r="J52">
        <v>744</v>
      </c>
    </row>
    <row r="53" spans="1:10">
      <c r="A53" s="673"/>
      <c r="B53" s="219"/>
      <c r="C53" s="219" t="str">
        <f t="shared" si="2"/>
        <v>Feb</v>
      </c>
      <c r="D53" s="251">
        <v>182245</v>
      </c>
      <c r="E53" s="251">
        <v>256932</v>
      </c>
      <c r="F53" s="199">
        <v>380</v>
      </c>
      <c r="G53" s="225"/>
      <c r="H53" s="225">
        <f t="shared" si="3"/>
        <v>100.615601503759</v>
      </c>
      <c r="I53" s="226" t="e">
        <f t="shared" si="4"/>
        <v>#DIV/0!</v>
      </c>
      <c r="J53">
        <v>672</v>
      </c>
    </row>
    <row r="54" spans="1:10">
      <c r="A54" s="673"/>
      <c r="B54" s="219"/>
      <c r="C54" s="219" t="str">
        <f t="shared" si="2"/>
        <v>mar</v>
      </c>
      <c r="D54" s="251">
        <v>182245</v>
      </c>
      <c r="E54" s="251">
        <v>279110</v>
      </c>
      <c r="F54" s="199">
        <v>380</v>
      </c>
      <c r="G54" s="225"/>
      <c r="H54" s="225">
        <f t="shared" si="3"/>
        <v>98.7231182795699</v>
      </c>
      <c r="I54" s="226" t="e">
        <f t="shared" si="4"/>
        <v>#DIV/0!</v>
      </c>
      <c r="J54">
        <v>744</v>
      </c>
    </row>
    <row r="55" spans="1:10">
      <c r="A55" s="673"/>
      <c r="B55" s="219"/>
      <c r="C55" s="219" t="str">
        <f t="shared" si="2"/>
        <v>apr</v>
      </c>
      <c r="D55" s="251">
        <v>182245</v>
      </c>
      <c r="E55" s="251">
        <v>277576</v>
      </c>
      <c r="F55" s="199">
        <v>380</v>
      </c>
      <c r="G55" s="225"/>
      <c r="H55" s="225">
        <f t="shared" si="3"/>
        <v>101.453216374269</v>
      </c>
      <c r="I55" s="226" t="e">
        <f t="shared" si="4"/>
        <v>#DIV/0!</v>
      </c>
      <c r="J55">
        <v>720</v>
      </c>
    </row>
    <row r="56" spans="1:10">
      <c r="A56" s="673"/>
      <c r="B56" s="219"/>
      <c r="C56" s="219" t="str">
        <f t="shared" si="2"/>
        <v>May</v>
      </c>
      <c r="D56" s="251">
        <v>182245</v>
      </c>
      <c r="E56" s="251">
        <v>289184</v>
      </c>
      <c r="F56" s="199">
        <v>380</v>
      </c>
      <c r="G56" s="225"/>
      <c r="H56" s="225">
        <f t="shared" si="3"/>
        <v>102.28636106395</v>
      </c>
      <c r="I56" s="226" t="e">
        <f t="shared" si="4"/>
        <v>#DIV/0!</v>
      </c>
      <c r="J56">
        <v>744</v>
      </c>
    </row>
    <row r="57" spans="1:10">
      <c r="A57" s="673"/>
      <c r="B57" s="219"/>
      <c r="C57" s="219" t="str">
        <f t="shared" si="2"/>
        <v>June</v>
      </c>
      <c r="D57" s="251">
        <v>182245</v>
      </c>
      <c r="E57" s="251">
        <v>275352</v>
      </c>
      <c r="F57" s="199">
        <v>380</v>
      </c>
      <c r="G57" s="225"/>
      <c r="H57" s="225">
        <f t="shared" si="3"/>
        <v>100.640350877193</v>
      </c>
      <c r="I57" s="226" t="e">
        <f t="shared" si="4"/>
        <v>#DIV/0!</v>
      </c>
      <c r="J57">
        <v>720</v>
      </c>
    </row>
    <row r="58" spans="1:10">
      <c r="A58" s="673"/>
      <c r="B58" s="219"/>
      <c r="C58" s="219" t="str">
        <f t="shared" si="2"/>
        <v>July</v>
      </c>
      <c r="D58" s="251">
        <v>182245</v>
      </c>
      <c r="E58" s="251">
        <v>285349</v>
      </c>
      <c r="F58" s="199">
        <v>380</v>
      </c>
      <c r="G58" s="225"/>
      <c r="H58" s="225">
        <f t="shared" si="3"/>
        <v>100.929895302773</v>
      </c>
      <c r="I58" s="226" t="e">
        <f t="shared" si="4"/>
        <v>#DIV/0!</v>
      </c>
      <c r="J58">
        <v>744</v>
      </c>
    </row>
    <row r="59" spans="1:10">
      <c r="A59" s="673"/>
      <c r="B59" s="219"/>
      <c r="C59" s="219" t="str">
        <f t="shared" si="2"/>
        <v>Aug</v>
      </c>
      <c r="D59" s="251">
        <v>182245</v>
      </c>
      <c r="E59" s="251">
        <v>275630</v>
      </c>
      <c r="F59" s="199">
        <v>380</v>
      </c>
      <c r="G59" s="225"/>
      <c r="H59" s="225">
        <f t="shared" si="3"/>
        <v>97.4922184493492</v>
      </c>
      <c r="I59" s="226" t="e">
        <f t="shared" si="4"/>
        <v>#DIV/0!</v>
      </c>
      <c r="J59">
        <v>744</v>
      </c>
    </row>
    <row r="60" spans="1:10">
      <c r="A60" s="673"/>
      <c r="B60" s="228"/>
      <c r="C60" s="224" t="str">
        <f t="shared" si="2"/>
        <v>Sep</v>
      </c>
      <c r="D60" s="252">
        <v>182245</v>
      </c>
      <c r="E60" s="252">
        <v>269826</v>
      </c>
      <c r="F60" s="199">
        <v>380</v>
      </c>
      <c r="G60" s="225"/>
      <c r="H60" s="225">
        <f t="shared" si="3"/>
        <v>98.6206140350877</v>
      </c>
      <c r="I60" s="226" t="e">
        <f t="shared" si="4"/>
        <v>#DIV/0!</v>
      </c>
      <c r="J60">
        <v>720</v>
      </c>
    </row>
    <row r="61" spans="1:12">
      <c r="A61" s="673"/>
      <c r="D61" s="684">
        <f>SUM(D49:D60)/8760</f>
        <v>249.404109589041</v>
      </c>
      <c r="E61" s="684">
        <f>SUM(E49:E60)/8760</f>
        <v>380.524885844749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849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  <row r="67" spans="1:19">
      <c r="A67" s="675"/>
      <c r="B67" s="676"/>
      <c r="C67" s="676"/>
      <c r="D67" s="676"/>
      <c r="E67" s="676"/>
      <c r="F67" s="676"/>
      <c r="G67" s="676"/>
      <c r="H67" s="676"/>
      <c r="I67" s="676"/>
      <c r="J67" s="676"/>
      <c r="K67" s="676"/>
      <c r="L67" s="676"/>
      <c r="M67" s="676"/>
      <c r="N67" s="676"/>
      <c r="O67" s="676"/>
      <c r="P67" s="676"/>
      <c r="Q67" s="676"/>
      <c r="R67" s="676"/>
      <c r="S67" s="676"/>
    </row>
  </sheetData>
  <mergeCells count="8">
    <mergeCell ref="C1:O1"/>
    <mergeCell ref="P1:AH1"/>
    <mergeCell ref="A20:O20"/>
    <mergeCell ref="A44:O44"/>
    <mergeCell ref="A67:S67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799981688894314"/>
  </sheetPr>
  <dimension ref="A1:O83"/>
  <sheetViews>
    <sheetView zoomScale="115" zoomScaleNormal="115" workbookViewId="0">
      <selection activeCell="A1" sqref="A1:A18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1634615384615" customWidth="1"/>
    <col min="10" max="10" width="13.5" customWidth="1"/>
    <col min="11" max="11" width="8.5" customWidth="1"/>
    <col min="12" max="12" width="7.16346153846154" customWidth="1"/>
    <col min="13" max="13" width="17.3365384615385" customWidth="1"/>
    <col min="14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65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400</v>
      </c>
      <c r="G3" s="22"/>
      <c r="H3" s="23" t="s">
        <v>187</v>
      </c>
      <c r="I3" s="5" t="s">
        <v>188</v>
      </c>
      <c r="J3" s="35">
        <v>3332435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380</v>
      </c>
      <c r="G4" s="217"/>
      <c r="H4" s="25" t="s">
        <v>187</v>
      </c>
      <c r="I4" s="7" t="s">
        <v>191</v>
      </c>
      <c r="J4" s="37">
        <v>1367937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86.7897981926803</v>
      </c>
      <c r="H6" s="27" t="s">
        <v>195</v>
      </c>
      <c r="I6" s="1"/>
      <c r="J6" s="40">
        <v>648999.86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12.9634726667842</v>
      </c>
      <c r="H7" s="27" t="s">
        <v>195</v>
      </c>
      <c r="I7" s="1"/>
      <c r="J7" s="40">
        <v>96938.72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0.246729140535554</v>
      </c>
      <c r="H8" s="27" t="s">
        <v>195</v>
      </c>
      <c r="I8" s="1"/>
      <c r="J8" s="40">
        <v>1845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747783.58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52.1765607568626</v>
      </c>
      <c r="H11" s="27" t="s">
        <v>195</v>
      </c>
      <c r="I11" s="1"/>
      <c r="J11" s="40">
        <v>298610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39.3</v>
      </c>
      <c r="F13" s="15" t="s">
        <v>204</v>
      </c>
      <c r="G13" s="31"/>
      <c r="H13" s="15"/>
      <c r="I13" s="15"/>
      <c r="J13" s="45">
        <v>164942.1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39.5</v>
      </c>
      <c r="F14" s="15" t="s">
        <v>204</v>
      </c>
      <c r="G14" s="31"/>
      <c r="H14" s="15"/>
      <c r="I14" s="15"/>
      <c r="J14" s="45">
        <v>45899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48.8814183123878</v>
      </c>
      <c r="F15" s="15" t="s">
        <v>204</v>
      </c>
      <c r="G15" s="31"/>
      <c r="H15" s="15"/>
      <c r="I15" s="15"/>
      <c r="J15" s="45">
        <v>54453.9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6.29033249806454</v>
      </c>
      <c r="H16" s="27" t="s">
        <v>195</v>
      </c>
      <c r="I16" s="1"/>
      <c r="J16" s="40">
        <v>36000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7.60466252724347</v>
      </c>
      <c r="H17" s="27" t="s">
        <v>195</v>
      </c>
      <c r="I17" s="1"/>
      <c r="J17" s="40">
        <v>43522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17.0729740948906</v>
      </c>
      <c r="H18" s="27" t="s">
        <v>195</v>
      </c>
      <c r="I18" s="1"/>
      <c r="J18" s="40">
        <v>97709.79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16.8554701229388</v>
      </c>
      <c r="H19" s="27" t="s">
        <v>195</v>
      </c>
      <c r="I19" s="1"/>
      <c r="J19" s="40">
        <v>96465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24616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6991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20219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945</v>
      </c>
      <c r="K27" s="44" t="s">
        <v>196</v>
      </c>
      <c r="L27" s="15"/>
    </row>
    <row r="28" ht="21.75" customHeight="1" spans="1:15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11169</v>
      </c>
      <c r="K28" s="44" t="s">
        <v>196</v>
      </c>
      <c r="L28" s="15"/>
      <c r="O28" t="s">
        <v>77</v>
      </c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17819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3833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10873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572306.79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22.4395548600348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17.1738320477369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5.26572281229791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175476.79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T64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260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261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262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6" t="s">
        <v>7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246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263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264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0">
        <v>1</v>
      </c>
      <c r="E14" s="68">
        <v>1</v>
      </c>
      <c r="F14" s="68"/>
      <c r="G14" s="68"/>
      <c r="H14" s="64"/>
      <c r="I14" s="57" t="s">
        <v>248</v>
      </c>
      <c r="J14" s="64"/>
      <c r="K14" s="119">
        <v>21629.1695652174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71">
        <v>2100</v>
      </c>
      <c r="E15" s="69" t="s">
        <v>265</v>
      </c>
      <c r="F15" s="69"/>
      <c r="G15" s="69"/>
      <c r="H15" s="98">
        <v>5800</v>
      </c>
      <c r="I15" s="57" t="s">
        <v>249</v>
      </c>
      <c r="J15" s="64"/>
      <c r="K15" s="121">
        <v>59.2579988088148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71">
        <v>1900</v>
      </c>
      <c r="E16" s="69">
        <v>3400</v>
      </c>
      <c r="F16" s="69"/>
      <c r="G16" s="69"/>
      <c r="H16" s="98">
        <v>5300</v>
      </c>
      <c r="I16" s="56" t="s">
        <v>157</v>
      </c>
      <c r="J16" s="56"/>
      <c r="K16" s="122">
        <v>5.7977260579463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/>
      <c r="G17" s="70"/>
      <c r="H17" s="98"/>
      <c r="I17" s="56" t="s">
        <v>58</v>
      </c>
      <c r="J17" s="56"/>
      <c r="K17" s="124">
        <v>33.1349157307493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 t="s">
        <v>266</v>
      </c>
      <c r="E18" s="71">
        <v>1850</v>
      </c>
      <c r="F18" s="71"/>
      <c r="G18" s="71"/>
      <c r="H18" s="98">
        <v>2510</v>
      </c>
      <c r="I18" s="56" t="s">
        <v>155</v>
      </c>
      <c r="J18" s="56"/>
      <c r="K18" s="124">
        <v>55.8689965583917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64</v>
      </c>
      <c r="J19" s="56"/>
      <c r="K19" s="124">
        <v>1.74070483318723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67</v>
      </c>
      <c r="J20" s="56"/>
      <c r="K20" s="124">
        <v>2.40878411179428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7.95334824337058</v>
      </c>
      <c r="E21" s="77"/>
      <c r="F21" s="77"/>
      <c r="G21" s="77"/>
      <c r="H21" s="102"/>
      <c r="I21" s="56"/>
      <c r="J21" s="56"/>
      <c r="K21" s="124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76.053091903009</v>
      </c>
      <c r="E22" s="77"/>
      <c r="F22" s="77"/>
      <c r="G22" s="77"/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267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268</v>
      </c>
      <c r="I24" s="127" t="s">
        <v>80</v>
      </c>
      <c r="J24" s="56"/>
      <c r="K24" s="122">
        <v>19.0676975468644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77" t="s">
        <v>269</v>
      </c>
      <c r="I25" s="128" t="s">
        <v>83</v>
      </c>
      <c r="J25" s="56"/>
      <c r="K25" s="122">
        <v>91.8505680707558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270</v>
      </c>
      <c r="I26" s="57" t="s">
        <v>86</v>
      </c>
      <c r="J26" s="56"/>
      <c r="K26" s="122">
        <v>73.1188003208407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271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272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7.74201388888889</v>
      </c>
      <c r="E29" s="75"/>
      <c r="F29" s="75"/>
      <c r="G29" s="80"/>
      <c r="H29" s="78"/>
      <c r="I29" s="66" t="s">
        <v>26</v>
      </c>
      <c r="J29" s="64"/>
      <c r="K29" s="13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42.5</v>
      </c>
      <c r="E30" s="77">
        <v>42.5</v>
      </c>
      <c r="F30" s="77"/>
      <c r="G30" s="77"/>
      <c r="H30" s="78"/>
      <c r="I30" s="66" t="s">
        <v>96</v>
      </c>
      <c r="J30" s="92"/>
      <c r="K30" s="135">
        <v>7634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2.03416666666667</v>
      </c>
      <c r="E31" s="75"/>
      <c r="F31" s="75"/>
      <c r="G31" s="80"/>
      <c r="H31" s="78"/>
      <c r="I31" s="66" t="s">
        <v>99</v>
      </c>
      <c r="J31" s="92"/>
      <c r="K31" s="135">
        <v>4000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4.70333333333333</v>
      </c>
      <c r="E32" s="75"/>
      <c r="F32" s="75"/>
      <c r="G32" s="80"/>
      <c r="H32" s="78"/>
      <c r="I32" s="66" t="s">
        <v>66</v>
      </c>
      <c r="J32" s="92"/>
      <c r="K32" s="135">
        <v>3000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158</v>
      </c>
      <c r="E33" s="80"/>
      <c r="F33" s="80"/>
      <c r="G33" s="80"/>
      <c r="H33" s="78"/>
      <c r="I33" s="57" t="s">
        <v>103</v>
      </c>
      <c r="J33" s="64"/>
      <c r="K33" s="136">
        <v>3.6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0.18030303030303</v>
      </c>
      <c r="E34" s="80"/>
      <c r="F34" s="80"/>
      <c r="G34" s="80"/>
      <c r="H34" s="78"/>
      <c r="I34" s="66" t="s">
        <v>105</v>
      </c>
      <c r="J34" s="64"/>
      <c r="K34" s="137">
        <v>5.84789461374424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73.2388850547184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56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51.5386301369863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145">
        <v>44.8263473053892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705">
        <v>0.302229299363056</v>
      </c>
    </row>
    <row r="43" ht="15" customHeight="1" spans="1:12">
      <c r="A43" s="157"/>
      <c r="B43" s="66" t="s">
        <v>121</v>
      </c>
      <c r="C43" s="64" t="s">
        <v>122</v>
      </c>
      <c r="D43" s="77">
        <v>190</v>
      </c>
      <c r="E43" s="77">
        <v>400</v>
      </c>
      <c r="F43" s="77"/>
      <c r="G43" s="78"/>
      <c r="H43" s="102"/>
      <c r="I43" s="66"/>
      <c r="J43" s="64" t="s">
        <v>123</v>
      </c>
      <c r="K43" s="144" t="s">
        <v>124</v>
      </c>
      <c r="L43" s="147">
        <v>2.6437125748503</v>
      </c>
    </row>
    <row r="44" ht="15" customHeight="1" spans="1:17">
      <c r="A44" s="157"/>
      <c r="B44" s="66" t="s">
        <v>125</v>
      </c>
      <c r="C44" s="64" t="s">
        <v>122</v>
      </c>
      <c r="D44" s="77">
        <v>207</v>
      </c>
      <c r="E44" s="77">
        <v>398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38.4</v>
      </c>
      <c r="E45" s="78">
        <v>40.4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44</v>
      </c>
      <c r="E46" s="78">
        <v>43.8</v>
      </c>
      <c r="F46" s="78"/>
      <c r="G46" s="78"/>
      <c r="H46" s="102"/>
      <c r="I46" s="66"/>
      <c r="J46" s="64" t="s">
        <v>131</v>
      </c>
      <c r="K46" s="79">
        <v>123.035375536539</v>
      </c>
      <c r="L46" s="147">
        <v>63.4092625210723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8"/>
      <c r="G47" s="78"/>
      <c r="H47" s="102"/>
      <c r="I47" s="66"/>
      <c r="J47" s="64" t="s">
        <v>134</v>
      </c>
      <c r="K47" s="79">
        <v>719.525628847003</v>
      </c>
      <c r="L47" s="147">
        <v>370.824970389509</v>
      </c>
    </row>
    <row r="48" ht="15" customHeight="1" spans="1:13">
      <c r="A48" s="157"/>
      <c r="B48" s="66" t="s">
        <v>135</v>
      </c>
      <c r="C48" s="64" t="s">
        <v>240</v>
      </c>
      <c r="D48" s="69">
        <v>8753.47368420974</v>
      </c>
      <c r="E48" s="69">
        <v>8532.5</v>
      </c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8737.36842105263</v>
      </c>
      <c r="E49" s="69">
        <v>8487</v>
      </c>
      <c r="F49" s="78"/>
      <c r="G49" s="69"/>
      <c r="H49" s="98"/>
      <c r="I49" s="66"/>
      <c r="J49" s="64" t="s">
        <v>139</v>
      </c>
      <c r="K49" s="150">
        <f>4908961/365</f>
        <v>13449.2082191781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99.8160128911319</v>
      </c>
      <c r="E50" s="77">
        <v>99.4667447992968</v>
      </c>
      <c r="F50" s="78"/>
      <c r="G50" s="78"/>
      <c r="H50" s="102"/>
      <c r="I50" s="66"/>
      <c r="J50" s="64" t="s">
        <v>141</v>
      </c>
      <c r="K50" s="150">
        <f>K49/K15</f>
        <v>226.960216165408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330299</v>
      </c>
      <c r="D55" s="69">
        <f>C55/(1660100+3394800)*100</f>
        <v>6.53423410947793</v>
      </c>
      <c r="E55" s="111" t="s">
        <v>147</v>
      </c>
      <c r="F55" s="64"/>
      <c r="G55" s="64" t="s">
        <v>148</v>
      </c>
      <c r="H55" s="64"/>
      <c r="I55" s="877" t="s">
        <v>117</v>
      </c>
      <c r="J55" s="877" t="s">
        <v>117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274</v>
      </c>
      <c r="H56" s="64"/>
      <c r="I56" s="69">
        <v>3059300</v>
      </c>
      <c r="J56" s="69">
        <f>I56/(D49*207+E49*398)*100</f>
        <v>58.9862691490975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9">
      <c r="G61"/>
      <c r="H61"/>
      <c r="I61" s="156" t="s">
        <v>77</v>
      </c>
    </row>
    <row r="64" spans="8:8">
      <c r="H64" s="156" t="s">
        <v>77</v>
      </c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E15 D18 C5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J67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158</v>
      </c>
      <c r="K2" t="s">
        <v>159</v>
      </c>
      <c r="L2" t="s">
        <v>159</v>
      </c>
      <c r="M2" t="s">
        <v>159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275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42644</v>
      </c>
      <c r="C4" s="219" t="s">
        <v>166</v>
      </c>
      <c r="D4" s="674">
        <v>0</v>
      </c>
      <c r="E4" s="674">
        <v>39.2120283141806</v>
      </c>
      <c r="F4" s="674">
        <v>15.3408977340112</v>
      </c>
      <c r="G4" s="674">
        <v>0</v>
      </c>
      <c r="H4" s="674">
        <v>0</v>
      </c>
      <c r="I4" s="674">
        <v>10.005827914653</v>
      </c>
      <c r="J4" s="674">
        <v>0</v>
      </c>
      <c r="K4" s="674">
        <v>0</v>
      </c>
      <c r="L4" s="674">
        <v>0</v>
      </c>
      <c r="M4" s="674">
        <v>0</v>
      </c>
      <c r="N4" s="674">
        <v>0</v>
      </c>
      <c r="O4" s="674">
        <v>0</v>
      </c>
      <c r="P4" s="674">
        <v>0</v>
      </c>
      <c r="Q4" s="674">
        <v>0</v>
      </c>
      <c r="R4" s="674">
        <v>9.06912878750764</v>
      </c>
      <c r="S4" s="674">
        <v>1.82538752497048</v>
      </c>
      <c r="T4" s="674">
        <v>0</v>
      </c>
      <c r="U4" s="674">
        <v>24.5187855205911</v>
      </c>
      <c r="Y4" s="219"/>
      <c r="Z4" s="203">
        <v>71.5711921458626</v>
      </c>
      <c r="AA4" s="203"/>
      <c r="AB4" s="203">
        <f>SUM(D4:O4)</f>
        <v>64.5587539628448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42675</v>
      </c>
      <c r="C5" s="219" t="s">
        <v>167</v>
      </c>
      <c r="D5" s="203">
        <v>0</v>
      </c>
      <c r="E5" s="203">
        <v>44.7830493412349</v>
      </c>
      <c r="F5" s="203">
        <v>44.5533926779465</v>
      </c>
      <c r="G5" s="203">
        <v>0</v>
      </c>
      <c r="H5" s="203">
        <v>0</v>
      </c>
      <c r="I5" s="203">
        <v>0</v>
      </c>
      <c r="J5" s="203">
        <v>0</v>
      </c>
      <c r="K5" s="203">
        <v>0</v>
      </c>
      <c r="L5" s="203">
        <v>0</v>
      </c>
      <c r="M5" s="203">
        <v>0</v>
      </c>
      <c r="N5" s="203">
        <v>0</v>
      </c>
      <c r="O5" s="203">
        <v>0</v>
      </c>
      <c r="P5" s="203">
        <v>0</v>
      </c>
      <c r="Q5" s="203">
        <v>0</v>
      </c>
      <c r="R5" s="203">
        <v>8.90668450666254</v>
      </c>
      <c r="S5" s="203">
        <v>1.72242497466288</v>
      </c>
      <c r="T5" s="203">
        <v>0</v>
      </c>
      <c r="U5" s="203">
        <v>0</v>
      </c>
      <c r="Y5" s="219"/>
      <c r="Z5" s="203">
        <v>58.0576811594203</v>
      </c>
      <c r="AA5" s="203"/>
      <c r="AB5" s="203">
        <f t="shared" ref="AB5:AB15" si="0">SUM(D5:O5)</f>
        <v>89.3364420191813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42705</v>
      </c>
      <c r="C6" s="219" t="s">
        <v>168</v>
      </c>
      <c r="D6" s="203">
        <v>0</v>
      </c>
      <c r="E6" s="203">
        <v>48.1953662443963</v>
      </c>
      <c r="F6" s="203">
        <v>49.676229453023</v>
      </c>
      <c r="G6" s="203">
        <v>0</v>
      </c>
      <c r="H6" s="203">
        <v>0</v>
      </c>
      <c r="I6" s="203">
        <v>0</v>
      </c>
      <c r="J6" s="203">
        <v>0</v>
      </c>
      <c r="K6" s="203">
        <v>0</v>
      </c>
      <c r="L6" s="203">
        <v>0</v>
      </c>
      <c r="M6" s="203">
        <v>0</v>
      </c>
      <c r="N6" s="203">
        <v>0</v>
      </c>
      <c r="O6" s="203">
        <v>0</v>
      </c>
      <c r="P6" s="203">
        <v>0</v>
      </c>
      <c r="Q6" s="203">
        <v>0</v>
      </c>
      <c r="R6" s="203">
        <v>0</v>
      </c>
      <c r="S6" s="203">
        <v>2.08667088488308</v>
      </c>
      <c r="T6" s="203">
        <v>0</v>
      </c>
      <c r="U6" s="203">
        <v>0</v>
      </c>
      <c r="Y6" s="219"/>
      <c r="Z6" s="203">
        <v>47.9232258064516</v>
      </c>
      <c r="AA6" s="203"/>
      <c r="AB6" s="203">
        <f t="shared" si="0"/>
        <v>97.8715956974193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42736</v>
      </c>
      <c r="C7" s="219" t="s">
        <v>169</v>
      </c>
      <c r="D7" s="203">
        <v>0</v>
      </c>
      <c r="E7" s="203">
        <v>44.3963038739787</v>
      </c>
      <c r="F7" s="203">
        <v>47.0039181075407</v>
      </c>
      <c r="G7" s="203">
        <v>0</v>
      </c>
      <c r="H7" s="203">
        <v>0</v>
      </c>
      <c r="I7" s="203">
        <v>6.418742728768</v>
      </c>
      <c r="J7" s="203">
        <v>0</v>
      </c>
      <c r="K7" s="203">
        <v>0</v>
      </c>
      <c r="L7" s="203">
        <v>0</v>
      </c>
      <c r="M7" s="203">
        <v>0</v>
      </c>
      <c r="N7" s="203">
        <v>0</v>
      </c>
      <c r="O7" s="203">
        <v>0</v>
      </c>
      <c r="P7" s="203">
        <v>0</v>
      </c>
      <c r="Q7" s="203">
        <v>0</v>
      </c>
      <c r="R7" s="203">
        <v>0</v>
      </c>
      <c r="S7" s="203">
        <v>2.13958090958933</v>
      </c>
      <c r="T7" s="203">
        <v>0</v>
      </c>
      <c r="U7" s="203">
        <v>0</v>
      </c>
      <c r="Y7" s="219"/>
      <c r="Z7" s="203">
        <v>48.2458064516129</v>
      </c>
      <c r="AA7" s="203"/>
      <c r="AB7" s="203">
        <f t="shared" si="0"/>
        <v>97.8189647102874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42767</v>
      </c>
      <c r="C8" s="219" t="s">
        <v>170</v>
      </c>
      <c r="D8" s="203">
        <v>0</v>
      </c>
      <c r="E8" s="203">
        <v>46.8803050484473</v>
      </c>
      <c r="F8" s="203">
        <v>39.9592572279245</v>
      </c>
      <c r="G8" s="203">
        <v>0</v>
      </c>
      <c r="H8" s="203">
        <v>0</v>
      </c>
      <c r="I8" s="203">
        <v>10.9692078664891</v>
      </c>
      <c r="J8" s="203">
        <v>0</v>
      </c>
      <c r="K8" s="203">
        <v>0</v>
      </c>
      <c r="L8" s="203">
        <v>0</v>
      </c>
      <c r="M8" s="203">
        <v>0</v>
      </c>
      <c r="N8" s="203">
        <v>0</v>
      </c>
      <c r="O8" s="203">
        <v>0</v>
      </c>
      <c r="P8" s="203">
        <v>0</v>
      </c>
      <c r="Q8" s="203">
        <v>0</v>
      </c>
      <c r="R8" s="203">
        <v>0.261171615868787</v>
      </c>
      <c r="S8" s="203">
        <v>1.89349421504871</v>
      </c>
      <c r="T8" s="203">
        <v>0</v>
      </c>
      <c r="U8" s="203">
        <v>0</v>
      </c>
      <c r="Y8" s="219"/>
      <c r="Z8" s="203">
        <v>54.6985714285714</v>
      </c>
      <c r="AA8" s="203"/>
      <c r="AB8" s="203">
        <f t="shared" si="0"/>
        <v>97.8087701428609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42795</v>
      </c>
      <c r="C9" s="219" t="s">
        <v>171</v>
      </c>
      <c r="D9" s="203">
        <v>0</v>
      </c>
      <c r="E9" s="203">
        <v>58.8946526775615</v>
      </c>
      <c r="F9" s="203">
        <v>24.5963181091306</v>
      </c>
      <c r="G9" s="203">
        <v>0</v>
      </c>
      <c r="H9" s="203">
        <v>0</v>
      </c>
      <c r="I9" s="203">
        <v>9.21447794375756</v>
      </c>
      <c r="J9" s="203">
        <v>0</v>
      </c>
      <c r="K9" s="203">
        <v>0</v>
      </c>
      <c r="L9" s="203">
        <v>0</v>
      </c>
      <c r="M9" s="203">
        <v>0</v>
      </c>
      <c r="N9" s="203">
        <v>0</v>
      </c>
      <c r="O9" s="203">
        <v>0</v>
      </c>
      <c r="P9" s="203">
        <v>0</v>
      </c>
      <c r="Q9" s="203">
        <v>0</v>
      </c>
      <c r="R9" s="203">
        <v>5.75295448340419</v>
      </c>
      <c r="S9" s="203">
        <v>1.51136939818246</v>
      </c>
      <c r="T9" s="203">
        <v>0</v>
      </c>
      <c r="U9" s="203">
        <v>0</v>
      </c>
      <c r="Y9" s="219"/>
      <c r="Z9" s="203">
        <v>66.1651612903226</v>
      </c>
      <c r="AA9" s="203"/>
      <c r="AB9" s="203">
        <f t="shared" si="0"/>
        <v>92.7054487304497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42826</v>
      </c>
      <c r="C10" s="219" t="s">
        <v>172</v>
      </c>
      <c r="D10" s="203">
        <v>0</v>
      </c>
      <c r="E10" s="203">
        <v>58.6705502964735</v>
      </c>
      <c r="F10" s="203">
        <v>22.5215853531676</v>
      </c>
      <c r="G10" s="203">
        <v>0</v>
      </c>
      <c r="H10" s="203">
        <v>0</v>
      </c>
      <c r="I10" s="203">
        <v>10.5586185373973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6.65765109747217</v>
      </c>
      <c r="S10" s="203">
        <v>1.56038697597004</v>
      </c>
      <c r="T10" s="203">
        <v>0</v>
      </c>
      <c r="U10" s="203">
        <v>0</v>
      </c>
      <c r="Y10" s="219"/>
      <c r="Z10" s="203">
        <v>64.0866666666667</v>
      </c>
      <c r="AA10" s="203"/>
      <c r="AB10" s="203">
        <f t="shared" si="0"/>
        <v>91.7507541870384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42856</v>
      </c>
      <c r="C11" s="219" t="s">
        <v>173</v>
      </c>
      <c r="D11" s="203">
        <v>0</v>
      </c>
      <c r="E11" s="203">
        <v>57.4021726180806</v>
      </c>
      <c r="F11" s="203">
        <v>25.7768246851003</v>
      </c>
      <c r="G11" s="203">
        <v>0</v>
      </c>
      <c r="H11" s="203">
        <v>0</v>
      </c>
      <c r="I11" s="203">
        <v>8.39371392056839</v>
      </c>
      <c r="J11" s="203">
        <v>0</v>
      </c>
      <c r="K11" s="203">
        <v>0</v>
      </c>
      <c r="L11" s="203">
        <v>0</v>
      </c>
      <c r="M11" s="203">
        <v>0</v>
      </c>
      <c r="N11" s="203">
        <v>0</v>
      </c>
      <c r="O11" s="203">
        <v>0</v>
      </c>
      <c r="P11" s="203">
        <v>0</v>
      </c>
      <c r="Q11" s="203">
        <v>0</v>
      </c>
      <c r="R11" s="203">
        <v>6.71497113645471</v>
      </c>
      <c r="S11" s="203">
        <v>1.67874278411368</v>
      </c>
      <c r="T11" s="203">
        <v>0</v>
      </c>
      <c r="U11" s="203">
        <v>0</v>
      </c>
      <c r="Y11" s="219"/>
      <c r="Z11" s="203">
        <v>59.5683870967742</v>
      </c>
      <c r="AA11" s="203"/>
      <c r="AB11" s="203">
        <f t="shared" si="0"/>
        <v>91.5727112237493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42887</v>
      </c>
      <c r="C12" s="219" t="s">
        <v>174</v>
      </c>
      <c r="D12" s="203">
        <v>0</v>
      </c>
      <c r="E12" s="203">
        <v>58.8991218676376</v>
      </c>
      <c r="F12" s="203">
        <v>25.0053544656243</v>
      </c>
      <c r="G12" s="203">
        <v>0</v>
      </c>
      <c r="H12" s="203">
        <v>0</v>
      </c>
      <c r="I12" s="203">
        <v>8.03169843649604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6.42535874919683</v>
      </c>
      <c r="S12" s="203">
        <v>1.60633968729921</v>
      </c>
      <c r="T12" s="203">
        <v>0</v>
      </c>
      <c r="U12" s="203">
        <v>0</v>
      </c>
      <c r="Y12" s="219"/>
      <c r="Z12" s="203">
        <v>62.2533333333333</v>
      </c>
      <c r="AA12" s="203"/>
      <c r="AB12" s="203">
        <f t="shared" si="0"/>
        <v>91.936174769758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42917</v>
      </c>
      <c r="C13" s="219" t="s">
        <v>175</v>
      </c>
      <c r="D13" s="203">
        <v>0</v>
      </c>
      <c r="E13" s="203">
        <v>61.906926804732</v>
      </c>
      <c r="F13" s="203">
        <v>28.003211421828</v>
      </c>
      <c r="G13" s="203">
        <v>0</v>
      </c>
      <c r="H13" s="203">
        <v>0</v>
      </c>
      <c r="I13" s="203">
        <v>7.25471798492953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1.30584923728732</v>
      </c>
      <c r="S13" s="203">
        <v>1.4993083835521</v>
      </c>
      <c r="T13" s="203">
        <v>0</v>
      </c>
      <c r="U13" s="203">
        <v>0</v>
      </c>
      <c r="Y13" s="219"/>
      <c r="Z13" s="203">
        <v>66.6974193548387</v>
      </c>
      <c r="AA13" s="203"/>
      <c r="AB13" s="203">
        <f t="shared" si="0"/>
        <v>97.1648562114895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42948</v>
      </c>
      <c r="C14" s="228" t="s">
        <v>176</v>
      </c>
      <c r="D14" s="203">
        <v>0</v>
      </c>
      <c r="E14" s="203">
        <v>63.7862784458661</v>
      </c>
      <c r="F14" s="203">
        <v>28.023751008386</v>
      </c>
      <c r="G14" s="203">
        <v>0</v>
      </c>
      <c r="H14" s="203">
        <v>0</v>
      </c>
      <c r="I14" s="203">
        <v>6.70693957188151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1.45395193516312</v>
      </c>
      <c r="T14" s="203">
        <v>0</v>
      </c>
      <c r="U14" s="203">
        <v>0</v>
      </c>
      <c r="Y14" s="219"/>
      <c r="Z14" s="203">
        <v>68.778064516129</v>
      </c>
      <c r="AA14" s="203"/>
      <c r="AB14" s="203">
        <f t="shared" si="0"/>
        <v>98.5169690261336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42979</v>
      </c>
      <c r="C15" s="228" t="s">
        <v>177</v>
      </c>
      <c r="D15" s="259">
        <v>0</v>
      </c>
      <c r="E15" s="259">
        <v>64.98429546193</v>
      </c>
      <c r="F15" s="259">
        <v>33.3586050037908</v>
      </c>
      <c r="G15" s="259">
        <v>0</v>
      </c>
      <c r="H15" s="259">
        <v>0</v>
      </c>
      <c r="I15" s="259">
        <v>0</v>
      </c>
      <c r="J15" s="259">
        <v>0</v>
      </c>
      <c r="K15" s="259">
        <v>0</v>
      </c>
      <c r="L15" s="259">
        <v>0</v>
      </c>
      <c r="M15" s="259">
        <v>0</v>
      </c>
      <c r="N15" s="259">
        <v>0</v>
      </c>
      <c r="O15" s="259">
        <v>0</v>
      </c>
      <c r="P15" s="259">
        <v>0</v>
      </c>
      <c r="Q15" s="259">
        <v>0</v>
      </c>
      <c r="R15" s="259">
        <v>0</v>
      </c>
      <c r="S15" s="259">
        <v>1.62460738654825</v>
      </c>
      <c r="T15" s="259">
        <v>0</v>
      </c>
      <c r="U15" s="259">
        <v>0</v>
      </c>
      <c r="Z15" s="203">
        <v>61.5533333333333</v>
      </c>
      <c r="AA15" s="203"/>
      <c r="AB15" s="203">
        <f t="shared" si="0"/>
        <v>98.3429004657208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22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42644</v>
      </c>
      <c r="E28" s="686">
        <v>0.165</v>
      </c>
      <c r="F28" s="251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42675</v>
      </c>
      <c r="E29" s="686">
        <v>0.16</v>
      </c>
      <c r="F29" s="251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42705</v>
      </c>
      <c r="E30" s="686">
        <v>0.17</v>
      </c>
      <c r="F30" s="251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42736</v>
      </c>
      <c r="E31" s="686">
        <v>0.2</v>
      </c>
      <c r="F31" s="251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42767</v>
      </c>
      <c r="E32" s="686">
        <v>0.16</v>
      </c>
      <c r="F32" s="251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42795</v>
      </c>
      <c r="E33" s="686">
        <v>0.203333333333333</v>
      </c>
      <c r="F33" s="251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42826</v>
      </c>
      <c r="E34" s="686">
        <v>0.205</v>
      </c>
      <c r="F34" s="251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42856</v>
      </c>
      <c r="E35" s="686">
        <v>0.16</v>
      </c>
      <c r="F35" s="251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42887</v>
      </c>
      <c r="E36" s="686">
        <v>0.19</v>
      </c>
      <c r="F36" s="251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42917</v>
      </c>
      <c r="E37" s="686">
        <v>0.185</v>
      </c>
      <c r="F37" s="251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42948</v>
      </c>
      <c r="E38" s="686">
        <v>0.17</v>
      </c>
      <c r="F38" s="251"/>
      <c r="G38" s="199"/>
      <c r="H38" s="191"/>
      <c r="I38" s="191"/>
      <c r="J38" s="191"/>
      <c r="AC38" s="694"/>
    </row>
    <row r="39" spans="1:29">
      <c r="A39" s="673"/>
      <c r="D39" s="682">
        <f t="shared" si="1"/>
        <v>42979</v>
      </c>
      <c r="E39" s="686">
        <v>0.18</v>
      </c>
      <c r="F39" s="251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Oct</v>
      </c>
      <c r="D49" s="223">
        <v>232800</v>
      </c>
      <c r="E49" s="223">
        <v>398319</v>
      </c>
      <c r="F49" s="225">
        <v>560.5</v>
      </c>
      <c r="G49" s="225">
        <v>605</v>
      </c>
      <c r="H49" s="225">
        <f>E49/J49/F49*100</f>
        <v>95.5173951828724</v>
      </c>
      <c r="I49" s="225">
        <f>D49/J49/G49*100</f>
        <v>51.7195414556118</v>
      </c>
      <c r="J49">
        <v>744</v>
      </c>
    </row>
    <row r="50" spans="1:10">
      <c r="A50" s="673"/>
      <c r="B50" s="219"/>
      <c r="C50" s="219" t="str">
        <f t="shared" ref="C50:C60" si="2">C5</f>
        <v>Nov</v>
      </c>
      <c r="D50" s="251">
        <v>269200</v>
      </c>
      <c r="E50" s="251">
        <v>407664</v>
      </c>
      <c r="F50" s="199">
        <v>560.5</v>
      </c>
      <c r="G50" s="225">
        <v>605</v>
      </c>
      <c r="H50" s="225">
        <f t="shared" ref="H50:H60" si="3">E50/J50/F50*100</f>
        <v>101.016949152542</v>
      </c>
      <c r="I50" s="225">
        <f t="shared" ref="I50:I60" si="4">D50/J50/G50*100</f>
        <v>61.7998163452709</v>
      </c>
      <c r="J50">
        <v>720</v>
      </c>
    </row>
    <row r="51" spans="1:10">
      <c r="A51" s="673"/>
      <c r="B51" s="219"/>
      <c r="C51" s="219" t="str">
        <f t="shared" si="2"/>
        <v>dec</v>
      </c>
      <c r="D51" s="251">
        <v>292100</v>
      </c>
      <c r="E51" s="251">
        <v>425938</v>
      </c>
      <c r="F51" s="199">
        <v>560.5</v>
      </c>
      <c r="G51" s="225">
        <v>605</v>
      </c>
      <c r="H51" s="225">
        <f t="shared" si="3"/>
        <v>102.140465981794</v>
      </c>
      <c r="I51" s="225">
        <f t="shared" si="4"/>
        <v>64.8938060961521</v>
      </c>
      <c r="J51">
        <v>744</v>
      </c>
    </row>
    <row r="52" spans="1:10">
      <c r="A52" s="673"/>
      <c r="B52" s="219"/>
      <c r="C52" s="219" t="str">
        <f t="shared" si="2"/>
        <v>Jan</v>
      </c>
      <c r="D52" s="251">
        <v>272300</v>
      </c>
      <c r="E52" s="251">
        <v>421927</v>
      </c>
      <c r="F52" s="199">
        <v>560.5</v>
      </c>
      <c r="G52" s="225">
        <v>605</v>
      </c>
      <c r="H52" s="225">
        <f t="shared" si="3"/>
        <v>101.178623157127</v>
      </c>
      <c r="I52" s="225">
        <f t="shared" si="4"/>
        <v>60.49497911668</v>
      </c>
      <c r="J52">
        <v>744</v>
      </c>
    </row>
    <row r="53" spans="1:10">
      <c r="A53" s="673"/>
      <c r="B53" s="219"/>
      <c r="C53" s="219" t="str">
        <f t="shared" si="2"/>
        <v>Feb</v>
      </c>
      <c r="D53" s="251">
        <v>257000</v>
      </c>
      <c r="E53" s="251">
        <v>384112</v>
      </c>
      <c r="F53" s="199">
        <v>560.5</v>
      </c>
      <c r="G53" s="225">
        <v>605</v>
      </c>
      <c r="H53" s="225">
        <f t="shared" si="3"/>
        <v>101.979525083896</v>
      </c>
      <c r="I53" s="225">
        <f t="shared" si="4"/>
        <v>63.2133018496655</v>
      </c>
      <c r="J53">
        <v>672</v>
      </c>
    </row>
    <row r="54" spans="1:10">
      <c r="A54" s="673"/>
      <c r="B54" s="219"/>
      <c r="C54" s="219" t="str">
        <f t="shared" si="2"/>
        <v>mar</v>
      </c>
      <c r="D54" s="251">
        <v>300800</v>
      </c>
      <c r="E54" s="251">
        <v>424179</v>
      </c>
      <c r="F54" s="199">
        <v>560.5</v>
      </c>
      <c r="G54" s="225">
        <v>605</v>
      </c>
      <c r="H54" s="225">
        <f t="shared" si="3"/>
        <v>101.718655578257</v>
      </c>
      <c r="I54" s="225">
        <f t="shared" si="4"/>
        <v>66.8266240113747</v>
      </c>
      <c r="J54">
        <v>744</v>
      </c>
    </row>
    <row r="55" spans="1:10">
      <c r="A55" s="673"/>
      <c r="B55" s="219"/>
      <c r="C55" s="219" t="str">
        <f t="shared" si="2"/>
        <v>apr</v>
      </c>
      <c r="D55" s="251">
        <v>256500</v>
      </c>
      <c r="E55" s="251">
        <v>401549</v>
      </c>
      <c r="F55" s="199">
        <v>560.5</v>
      </c>
      <c r="G55" s="225">
        <v>605</v>
      </c>
      <c r="H55" s="225">
        <f t="shared" si="3"/>
        <v>99.5016850034691</v>
      </c>
      <c r="I55" s="225">
        <f t="shared" si="4"/>
        <v>58.8842975206612</v>
      </c>
      <c r="J55">
        <v>720</v>
      </c>
    </row>
    <row r="56" spans="1:10">
      <c r="A56" s="673"/>
      <c r="B56" s="219"/>
      <c r="C56" s="219" t="str">
        <f t="shared" si="2"/>
        <v>May</v>
      </c>
      <c r="D56" s="251">
        <v>197200</v>
      </c>
      <c r="E56" s="251">
        <v>407253</v>
      </c>
      <c r="F56" s="199">
        <v>560.5</v>
      </c>
      <c r="G56" s="225">
        <v>605</v>
      </c>
      <c r="H56" s="225">
        <f t="shared" si="3"/>
        <v>97.6597795746885</v>
      </c>
      <c r="I56" s="225">
        <f t="shared" si="4"/>
        <v>43.8105394117124</v>
      </c>
      <c r="J56">
        <v>744</v>
      </c>
    </row>
    <row r="57" spans="1:10">
      <c r="A57" s="673"/>
      <c r="B57" s="219"/>
      <c r="C57" s="219" t="str">
        <f t="shared" si="2"/>
        <v>June</v>
      </c>
      <c r="D57" s="251">
        <v>254800</v>
      </c>
      <c r="E57" s="251">
        <v>405662</v>
      </c>
      <c r="F57" s="199">
        <v>560.5</v>
      </c>
      <c r="G57" s="225">
        <v>605</v>
      </c>
      <c r="H57" s="225">
        <f t="shared" si="3"/>
        <v>100.520864307662</v>
      </c>
      <c r="I57" s="225">
        <f t="shared" si="4"/>
        <v>58.494031221304</v>
      </c>
      <c r="J57">
        <v>720</v>
      </c>
    </row>
    <row r="58" spans="1:10">
      <c r="A58" s="673"/>
      <c r="B58" s="219"/>
      <c r="C58" s="219" t="str">
        <f t="shared" si="2"/>
        <v>July</v>
      </c>
      <c r="D58" s="251">
        <v>226100</v>
      </c>
      <c r="E58" s="251">
        <v>415471</v>
      </c>
      <c r="F58" s="199">
        <v>560.5</v>
      </c>
      <c r="G58" s="225">
        <v>605</v>
      </c>
      <c r="H58" s="225">
        <f t="shared" si="3"/>
        <v>99.6304662695558</v>
      </c>
      <c r="I58" s="225">
        <f t="shared" si="4"/>
        <v>50.2310494979117</v>
      </c>
      <c r="J58">
        <v>744</v>
      </c>
    </row>
    <row r="59" spans="1:10">
      <c r="A59" s="673"/>
      <c r="B59" s="219"/>
      <c r="C59" s="219" t="str">
        <f t="shared" si="2"/>
        <v>Aug</v>
      </c>
      <c r="D59" s="251">
        <v>250700</v>
      </c>
      <c r="E59" s="251">
        <v>419194</v>
      </c>
      <c r="F59" s="199">
        <v>560.5</v>
      </c>
      <c r="G59" s="225">
        <v>605</v>
      </c>
      <c r="H59" s="225">
        <f t="shared" si="3"/>
        <v>100.523246333439</v>
      </c>
      <c r="I59" s="225">
        <f t="shared" si="4"/>
        <v>55.6962587754377</v>
      </c>
      <c r="J59">
        <v>744</v>
      </c>
    </row>
    <row r="60" spans="1:10">
      <c r="A60" s="673"/>
      <c r="B60" s="228"/>
      <c r="C60" s="224" t="str">
        <f t="shared" si="2"/>
        <v>Sep</v>
      </c>
      <c r="D60" s="252">
        <v>249800</v>
      </c>
      <c r="E60" s="252">
        <v>397693</v>
      </c>
      <c r="F60" s="199">
        <v>560.5</v>
      </c>
      <c r="G60" s="225">
        <v>605</v>
      </c>
      <c r="H60" s="225">
        <f t="shared" si="3"/>
        <v>98.5461889186242</v>
      </c>
      <c r="I60" s="225">
        <f t="shared" si="4"/>
        <v>57.346189164371</v>
      </c>
      <c r="J60">
        <v>720</v>
      </c>
    </row>
    <row r="61" spans="1:12">
      <c r="A61" s="673"/>
      <c r="D61" s="684"/>
      <c r="E61" s="684">
        <f>SUM(E49:E60)/8760</f>
        <v>560.383675799087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848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  <row r="67" spans="1:19">
      <c r="A67" s="675"/>
      <c r="B67" s="676"/>
      <c r="C67" s="676"/>
      <c r="D67" s="676"/>
      <c r="E67" s="676"/>
      <c r="F67" s="676"/>
      <c r="G67" s="676"/>
      <c r="H67" s="676"/>
      <c r="I67" s="676"/>
      <c r="J67" s="676"/>
      <c r="K67" s="676"/>
      <c r="L67" s="676"/>
      <c r="M67" s="676"/>
      <c r="N67" s="676"/>
      <c r="O67" s="676"/>
      <c r="P67" s="676"/>
      <c r="Q67" s="676"/>
      <c r="R67" s="676"/>
      <c r="S67" s="676"/>
    </row>
  </sheetData>
  <mergeCells count="8">
    <mergeCell ref="C1:O1"/>
    <mergeCell ref="P1:AH1"/>
    <mergeCell ref="A20:O20"/>
    <mergeCell ref="A44:O44"/>
    <mergeCell ref="A67:S67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13" width="18.5" customWidth="1"/>
    <col min="14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260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590</v>
      </c>
      <c r="G3" s="22"/>
      <c r="H3" s="23" t="s">
        <v>187</v>
      </c>
      <c r="I3" s="5" t="s">
        <v>188</v>
      </c>
      <c r="J3" s="35">
        <v>4924450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560.5</v>
      </c>
      <c r="G4" s="217"/>
      <c r="H4" s="25" t="s">
        <v>187</v>
      </c>
      <c r="I4" s="7" t="s">
        <v>191</v>
      </c>
      <c r="J4" s="37">
        <v>2337400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87.3109855671786</v>
      </c>
      <c r="H6" s="27" t="s">
        <v>195</v>
      </c>
      <c r="I6" s="1"/>
      <c r="J6" s="40">
        <v>984310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12.6890144328214</v>
      </c>
      <c r="H7" s="27" t="s">
        <v>195</v>
      </c>
      <c r="I7" s="1"/>
      <c r="J7" s="40">
        <v>143051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1127361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50.0551121568477</v>
      </c>
      <c r="H11" s="27" t="s">
        <v>195</v>
      </c>
      <c r="I11" s="1"/>
      <c r="J11" s="40">
        <v>436605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47.7669557798948</v>
      </c>
      <c r="F13" s="15" t="s">
        <v>204</v>
      </c>
      <c r="G13" s="31"/>
      <c r="H13" s="15"/>
      <c r="I13" s="15"/>
      <c r="J13" s="45">
        <v>335945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32">
        <v>24.1065171688858</v>
      </c>
      <c r="F14" s="15" t="s">
        <v>204</v>
      </c>
      <c r="G14" s="31"/>
      <c r="H14" s="15"/>
      <c r="I14" s="15"/>
      <c r="J14" s="45">
        <v>34400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74.6171171171171</v>
      </c>
      <c r="F15" s="15" t="s">
        <v>204</v>
      </c>
      <c r="G15" s="31"/>
      <c r="H15" s="15"/>
      <c r="I15" s="15"/>
      <c r="J15" s="45">
        <v>66260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1.34881275873</v>
      </c>
      <c r="H16" s="27" t="s">
        <v>195</v>
      </c>
      <c r="I16" s="1"/>
      <c r="J16" s="40">
        <v>11765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7.74779143518688</v>
      </c>
      <c r="H17" s="27" t="s">
        <v>195</v>
      </c>
      <c r="I17" s="1"/>
      <c r="J17" s="40">
        <v>67580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22.2503741106735</v>
      </c>
      <c r="H18" s="27" t="s">
        <v>195</v>
      </c>
      <c r="I18" s="1"/>
      <c r="J18" s="40">
        <v>194078.57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18.5979095385619</v>
      </c>
      <c r="H19" s="27" t="s">
        <v>195</v>
      </c>
      <c r="I19" s="1"/>
      <c r="J19" s="40">
        <v>162220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63443</v>
      </c>
      <c r="K22" s="44" t="s">
        <v>196</v>
      </c>
      <c r="L22" s="17"/>
    </row>
    <row r="23" ht="21.75" customHeight="1" spans="1:14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900</v>
      </c>
      <c r="K23" s="44" t="s">
        <v>196</v>
      </c>
      <c r="L23" s="15"/>
      <c r="N23" t="s">
        <v>77</v>
      </c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5800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22950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13827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500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10460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29840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14500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872248.57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22.89313527399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17.7126089207932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5.1805263531968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255112.43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0999786370433668"/>
  </sheetPr>
  <dimension ref="A1:T62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276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277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278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279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246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280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281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282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283</v>
      </c>
      <c r="E13" s="67" t="s">
        <v>22</v>
      </c>
      <c r="F13" s="67" t="s">
        <v>23</v>
      </c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0">
        <v>1</v>
      </c>
      <c r="E14" s="68">
        <v>1</v>
      </c>
      <c r="F14" s="68">
        <v>1</v>
      </c>
      <c r="G14" s="68"/>
      <c r="H14" s="64"/>
      <c r="I14" s="57" t="s">
        <v>248</v>
      </c>
      <c r="J14" s="64"/>
      <c r="K14" s="119">
        <v>10257.1142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71" t="s">
        <v>284</v>
      </c>
      <c r="E15" s="69" t="s">
        <v>285</v>
      </c>
      <c r="F15" s="69" t="s">
        <v>286</v>
      </c>
      <c r="G15" s="69"/>
      <c r="H15" s="98">
        <v>3360</v>
      </c>
      <c r="I15" s="57" t="s">
        <v>249</v>
      </c>
      <c r="J15" s="64"/>
      <c r="K15" s="121">
        <v>28.101682739726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71">
        <v>180</v>
      </c>
      <c r="E16" s="69">
        <v>2000</v>
      </c>
      <c r="F16" s="69">
        <v>1030</v>
      </c>
      <c r="G16" s="69"/>
      <c r="H16" s="98">
        <v>3210</v>
      </c>
      <c r="I16" s="56" t="s">
        <v>287</v>
      </c>
      <c r="J16" s="56"/>
      <c r="K16" s="122">
        <v>1.18259383326355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/>
      <c r="H17" s="98"/>
      <c r="I17" s="56" t="s">
        <v>58</v>
      </c>
      <c r="J17" s="56"/>
      <c r="K17" s="124">
        <v>47.3505501186679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 t="s">
        <v>288</v>
      </c>
      <c r="E18" s="71" t="s">
        <v>289</v>
      </c>
      <c r="F18" s="71" t="s">
        <v>290</v>
      </c>
      <c r="G18" s="71"/>
      <c r="H18" s="98">
        <v>900</v>
      </c>
      <c r="I18" s="56" t="s">
        <v>291</v>
      </c>
      <c r="J18" s="56"/>
      <c r="K18" s="124">
        <v>40.3300569667051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292</v>
      </c>
      <c r="J19" s="56"/>
      <c r="K19" s="124">
        <v>4.95071021048006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68</v>
      </c>
      <c r="J20" s="56"/>
      <c r="K20" s="124">
        <v>5.47034954529413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9.6</v>
      </c>
      <c r="E21" s="75">
        <v>5.78</v>
      </c>
      <c r="F21" s="75">
        <v>4.73</v>
      </c>
      <c r="G21" s="77"/>
      <c r="H21" s="102"/>
      <c r="I21" s="56" t="s">
        <v>293</v>
      </c>
      <c r="J21" s="56"/>
      <c r="K21" s="124">
        <v>0.715739325589258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85.08</v>
      </c>
      <c r="E22" s="75">
        <v>73.44</v>
      </c>
      <c r="F22" s="75">
        <v>69.355</v>
      </c>
      <c r="G22" s="77"/>
      <c r="H22" s="78"/>
      <c r="I22" s="57"/>
      <c r="J22" s="56"/>
      <c r="K22" s="236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294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295</v>
      </c>
      <c r="I24" s="127" t="s">
        <v>80</v>
      </c>
      <c r="J24" s="56"/>
      <c r="K24" s="122">
        <v>21.2290123158364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77" t="s">
        <v>296</v>
      </c>
      <c r="I25" s="128" t="s">
        <v>83</v>
      </c>
      <c r="J25" s="56"/>
      <c r="K25" s="122">
        <v>93.66553905774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297</v>
      </c>
      <c r="I26" s="57" t="s">
        <v>86</v>
      </c>
      <c r="J26" s="56"/>
      <c r="K26" s="122">
        <v>78.1450777132197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298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299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5.865</v>
      </c>
      <c r="E29" s="75">
        <v>7.86</v>
      </c>
      <c r="F29" s="75">
        <v>7.82</v>
      </c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40</v>
      </c>
      <c r="E30" s="77">
        <v>39.7</v>
      </c>
      <c r="F30" s="77">
        <v>39.45</v>
      </c>
      <c r="G30" s="77"/>
      <c r="H30" s="78"/>
      <c r="I30" s="66" t="s">
        <v>96</v>
      </c>
      <c r="J30" s="92"/>
      <c r="K30" s="135">
        <v>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80"/>
      <c r="E31" s="75">
        <v>2.34</v>
      </c>
      <c r="F31" s="75"/>
      <c r="G31" s="80"/>
      <c r="H31" s="78"/>
      <c r="I31" s="66" t="s">
        <v>99</v>
      </c>
      <c r="J31" s="92"/>
      <c r="K31" s="135">
        <v>1300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80"/>
      <c r="E32" s="75">
        <v>4.1</v>
      </c>
      <c r="F32" s="75"/>
      <c r="G32" s="80"/>
      <c r="H32" s="78"/>
      <c r="I32" s="66" t="s">
        <v>66</v>
      </c>
      <c r="J32" s="92"/>
      <c r="K32" s="135">
        <v>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69">
        <v>12979</v>
      </c>
      <c r="E33" s="77">
        <v>99</v>
      </c>
      <c r="F33" s="80"/>
      <c r="G33" s="80"/>
      <c r="H33" s="78"/>
      <c r="I33" s="57" t="s">
        <v>103</v>
      </c>
      <c r="J33" s="64"/>
      <c r="K33" s="136">
        <v>2.4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4.29</v>
      </c>
      <c r="E34" s="80">
        <v>0.11</v>
      </c>
      <c r="F34" s="80"/>
      <c r="G34" s="80"/>
      <c r="H34" s="78"/>
      <c r="I34" s="66" t="s">
        <v>105</v>
      </c>
      <c r="J34" s="64"/>
      <c r="K34" s="137">
        <v>4.72733918757832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69.3550044072146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300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54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60.2767123287671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145">
        <v>41.1506849315069</v>
      </c>
    </row>
    <row r="42" ht="15" customHeight="1" spans="1:12">
      <c r="A42" s="157"/>
      <c r="B42" s="66" t="s">
        <v>118</v>
      </c>
      <c r="C42" s="64"/>
      <c r="D42" s="78" t="s">
        <v>301</v>
      </c>
      <c r="E42" s="78" t="s">
        <v>301</v>
      </c>
      <c r="F42" s="78"/>
      <c r="G42" s="78"/>
      <c r="H42" s="102"/>
      <c r="I42" s="66"/>
      <c r="J42" s="64" t="s">
        <v>113</v>
      </c>
      <c r="K42" s="143" t="s">
        <v>120</v>
      </c>
      <c r="L42" s="705">
        <v>0.11068493150685</v>
      </c>
    </row>
    <row r="43" ht="15" customHeight="1" spans="1:12">
      <c r="A43" s="157"/>
      <c r="B43" s="66" t="s">
        <v>121</v>
      </c>
      <c r="C43" s="64" t="s">
        <v>122</v>
      </c>
      <c r="D43" s="77">
        <v>250</v>
      </c>
      <c r="E43" s="77">
        <v>180</v>
      </c>
      <c r="F43" s="77"/>
      <c r="G43" s="78"/>
      <c r="H43" s="102"/>
      <c r="I43" s="66"/>
      <c r="J43" s="64" t="s">
        <v>123</v>
      </c>
      <c r="K43" s="144" t="s">
        <v>124</v>
      </c>
      <c r="L43" s="147">
        <v>42.5068493150685</v>
      </c>
    </row>
    <row r="44" ht="15" customHeight="1" spans="1:17">
      <c r="A44" s="157"/>
      <c r="B44" s="66" t="s">
        <v>125</v>
      </c>
      <c r="C44" s="64" t="s">
        <v>122</v>
      </c>
      <c r="D44" s="77">
        <v>208</v>
      </c>
      <c r="E44" s="77">
        <v>171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44.5</v>
      </c>
      <c r="E45" s="75">
        <v>42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37</v>
      </c>
      <c r="E46" s="75">
        <v>40</v>
      </c>
      <c r="F46" s="78"/>
      <c r="G46" s="78"/>
      <c r="H46" s="102"/>
      <c r="I46" s="66"/>
      <c r="J46" s="64" t="s">
        <v>131</v>
      </c>
      <c r="K46" s="79">
        <v>112.826081238327</v>
      </c>
      <c r="L46" s="147">
        <v>67.9636916199476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8"/>
      <c r="G47" s="78"/>
      <c r="H47" s="102"/>
      <c r="I47" s="66"/>
      <c r="J47" s="64" t="s">
        <v>134</v>
      </c>
      <c r="K47" s="79">
        <v>590.64088248491</v>
      </c>
      <c r="L47" s="147">
        <v>355.787725273771</v>
      </c>
    </row>
    <row r="48" ht="15" customHeight="1" spans="1:13">
      <c r="A48" s="157"/>
      <c r="B48" s="66" t="s">
        <v>135</v>
      </c>
      <c r="C48" s="64" t="s">
        <v>240</v>
      </c>
      <c r="D48" s="69">
        <v>8711</v>
      </c>
      <c r="E48" s="69">
        <v>5383</v>
      </c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8424.504</v>
      </c>
      <c r="E49" s="69">
        <v>5320.72222222222</v>
      </c>
      <c r="F49" s="78"/>
      <c r="G49" s="69"/>
      <c r="H49" s="98"/>
      <c r="I49" s="66"/>
      <c r="J49" s="64" t="s">
        <v>139</v>
      </c>
      <c r="K49" s="150">
        <f>2970523/365</f>
        <v>8138.41917808219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96.1701369863014</v>
      </c>
      <c r="E50" s="77">
        <v>60.7388381532217</v>
      </c>
      <c r="F50" s="78"/>
      <c r="G50" s="78"/>
      <c r="H50" s="102"/>
      <c r="I50" s="66"/>
      <c r="J50" s="64" t="s">
        <v>141</v>
      </c>
      <c r="K50" s="150">
        <f>K49/K15</f>
        <v>289.606115529064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237538</v>
      </c>
      <c r="D55" s="69">
        <f>C55/(D49*D43+E49*E43)*100</f>
        <v>7.75291005843617</v>
      </c>
      <c r="E55" s="111" t="s">
        <v>147</v>
      </c>
      <c r="F55" s="64"/>
      <c r="G55" s="64" t="s">
        <v>148</v>
      </c>
      <c r="H55" s="64"/>
      <c r="I55" s="69" t="s">
        <v>117</v>
      </c>
      <c r="J55" s="69" t="s">
        <v>117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302</v>
      </c>
      <c r="H56" s="64"/>
      <c r="I56" s="69">
        <v>989000</v>
      </c>
      <c r="J56" s="69">
        <f>I56/(D49*D44+E49*E44)*100</f>
        <v>37.1505584477205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  <row r="62" spans="4:4">
      <c r="D62" s="156" t="s">
        <v>77</v>
      </c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D18:F18 D15:F15 C5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0999786370433668"/>
  </sheetPr>
  <dimension ref="A1:AJ67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9" max="9" width="12.6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158</v>
      </c>
      <c r="K2" t="s">
        <v>287</v>
      </c>
      <c r="L2" t="s">
        <v>303</v>
      </c>
      <c r="M2" t="s">
        <v>293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291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42675</v>
      </c>
      <c r="C4" s="219" t="s">
        <v>167</v>
      </c>
      <c r="D4" s="674">
        <v>0</v>
      </c>
      <c r="E4" s="674">
        <v>0</v>
      </c>
      <c r="F4" s="674">
        <v>44.1303147432358</v>
      </c>
      <c r="G4" s="674">
        <v>0</v>
      </c>
      <c r="H4" s="674">
        <v>12.1590281612369</v>
      </c>
      <c r="I4" s="674">
        <v>0</v>
      </c>
      <c r="J4" s="674">
        <v>0</v>
      </c>
      <c r="K4" s="674">
        <v>1.4908890115958</v>
      </c>
      <c r="L4" s="674">
        <v>6.44947542794036</v>
      </c>
      <c r="M4" s="674">
        <v>0</v>
      </c>
      <c r="N4" s="674">
        <v>0</v>
      </c>
      <c r="O4" s="674">
        <v>0</v>
      </c>
      <c r="P4" s="674">
        <v>0</v>
      </c>
      <c r="Q4" s="674">
        <v>0</v>
      </c>
      <c r="R4" s="674">
        <v>0</v>
      </c>
      <c r="S4" s="674">
        <v>0</v>
      </c>
      <c r="T4" s="674">
        <v>0</v>
      </c>
      <c r="U4" s="674">
        <v>35.7702926559912</v>
      </c>
      <c r="Y4" s="219"/>
      <c r="Z4" s="203">
        <v>30.1833333333333</v>
      </c>
      <c r="AA4" s="203"/>
      <c r="AB4" s="203">
        <f>SUM(D4:O4)</f>
        <v>64.2297073440088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42705</v>
      </c>
      <c r="C5" s="219" t="s">
        <v>168</v>
      </c>
      <c r="D5" s="203">
        <v>0</v>
      </c>
      <c r="E5" s="203">
        <v>0</v>
      </c>
      <c r="F5" s="203">
        <v>33.1506529850746</v>
      </c>
      <c r="G5" s="203">
        <v>0</v>
      </c>
      <c r="H5" s="203">
        <v>14.0858208955224</v>
      </c>
      <c r="I5" s="203">
        <v>0</v>
      </c>
      <c r="J5" s="203">
        <v>0</v>
      </c>
      <c r="K5" s="203">
        <v>3.36986940298507</v>
      </c>
      <c r="L5" s="203">
        <v>6.66977611940299</v>
      </c>
      <c r="M5" s="203">
        <v>0</v>
      </c>
      <c r="N5" s="203">
        <v>0</v>
      </c>
      <c r="O5" s="203">
        <v>0</v>
      </c>
      <c r="P5" s="203">
        <v>0</v>
      </c>
      <c r="Q5" s="203">
        <v>0</v>
      </c>
      <c r="R5" s="203">
        <v>0</v>
      </c>
      <c r="S5" s="203">
        <v>0</v>
      </c>
      <c r="T5" s="203">
        <v>0</v>
      </c>
      <c r="U5" s="203">
        <v>42.7238805970149</v>
      </c>
      <c r="Y5" s="219"/>
      <c r="Z5" s="203">
        <v>27.6645161290323</v>
      </c>
      <c r="AA5" s="203"/>
      <c r="AB5" s="203">
        <f t="shared" ref="AB5:AB15" si="0">SUM(D5:O5)</f>
        <v>57.2761194029851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42736</v>
      </c>
      <c r="C6" s="219" t="s">
        <v>169</v>
      </c>
      <c r="D6" s="203">
        <v>0</v>
      </c>
      <c r="E6" s="203">
        <v>0</v>
      </c>
      <c r="F6" s="203">
        <v>41.3880929640242</v>
      </c>
      <c r="G6" s="203">
        <v>0</v>
      </c>
      <c r="H6" s="203">
        <v>12.8727581449645</v>
      </c>
      <c r="I6" s="203">
        <v>0</v>
      </c>
      <c r="J6" s="203">
        <v>0</v>
      </c>
      <c r="K6" s="203">
        <v>1.96328133290884</v>
      </c>
      <c r="L6" s="203">
        <v>5.1363684601507</v>
      </c>
      <c r="M6" s="203">
        <v>0</v>
      </c>
      <c r="N6" s="203">
        <v>0</v>
      </c>
      <c r="O6" s="203">
        <v>0</v>
      </c>
      <c r="P6" s="203">
        <v>0</v>
      </c>
      <c r="Q6" s="203">
        <v>0</v>
      </c>
      <c r="R6" s="203">
        <v>0</v>
      </c>
      <c r="S6" s="203">
        <v>0</v>
      </c>
      <c r="T6" s="203">
        <v>0</v>
      </c>
      <c r="U6" s="203">
        <v>38.6394990979518</v>
      </c>
      <c r="Y6" s="219"/>
      <c r="Z6" s="203">
        <v>30.3967741935484</v>
      </c>
      <c r="AA6" s="203"/>
      <c r="AB6" s="203">
        <f t="shared" si="0"/>
        <v>61.3605009020482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42767</v>
      </c>
      <c r="C7" s="219" t="s">
        <v>170</v>
      </c>
      <c r="D7" s="203">
        <v>0</v>
      </c>
      <c r="E7" s="203">
        <v>0</v>
      </c>
      <c r="F7" s="203">
        <v>43.4953071165498</v>
      </c>
      <c r="G7" s="203">
        <v>0</v>
      </c>
      <c r="H7" s="203">
        <v>12.7004871094214</v>
      </c>
      <c r="I7" s="203">
        <v>0</v>
      </c>
      <c r="J7" s="203">
        <v>0</v>
      </c>
      <c r="K7" s="203">
        <v>1.41380539384579</v>
      </c>
      <c r="L7" s="203">
        <v>5.12058928359273</v>
      </c>
      <c r="M7" s="203">
        <v>0</v>
      </c>
      <c r="N7" s="203">
        <v>0</v>
      </c>
      <c r="O7" s="203">
        <v>0</v>
      </c>
      <c r="P7" s="203">
        <v>0</v>
      </c>
      <c r="Q7" s="203">
        <v>0</v>
      </c>
      <c r="R7" s="203">
        <v>0</v>
      </c>
      <c r="S7" s="203">
        <v>0</v>
      </c>
      <c r="T7" s="203">
        <v>0</v>
      </c>
      <c r="U7" s="203">
        <v>37.2698110965902</v>
      </c>
      <c r="Y7" s="219"/>
      <c r="Z7" s="203">
        <v>30.0607142857143</v>
      </c>
      <c r="AA7" s="203"/>
      <c r="AB7" s="203">
        <f t="shared" si="0"/>
        <v>62.7301889034098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42795</v>
      </c>
      <c r="C8" s="219" t="s">
        <v>171</v>
      </c>
      <c r="D8" s="203">
        <v>0</v>
      </c>
      <c r="E8" s="203">
        <v>0</v>
      </c>
      <c r="F8" s="203">
        <v>45.5520072992701</v>
      </c>
      <c r="G8" s="203">
        <v>0</v>
      </c>
      <c r="H8" s="203">
        <v>10.2189781021898</v>
      </c>
      <c r="I8" s="203">
        <v>0</v>
      </c>
      <c r="J8" s="203">
        <v>0</v>
      </c>
      <c r="K8" s="203">
        <v>1.50547445255474</v>
      </c>
      <c r="L8" s="203">
        <v>5.55428832116788</v>
      </c>
      <c r="M8" s="203">
        <v>0</v>
      </c>
      <c r="N8" s="203">
        <v>0</v>
      </c>
      <c r="O8" s="203">
        <v>0</v>
      </c>
      <c r="P8" s="203">
        <v>0</v>
      </c>
      <c r="Q8" s="203">
        <v>0</v>
      </c>
      <c r="R8" s="203">
        <v>0</v>
      </c>
      <c r="S8" s="203">
        <v>0</v>
      </c>
      <c r="T8" s="203">
        <v>0</v>
      </c>
      <c r="U8" s="203">
        <v>37.1692518248175</v>
      </c>
      <c r="Y8" s="219"/>
      <c r="Z8" s="203">
        <v>28.2838709677419</v>
      </c>
      <c r="AA8" s="203"/>
      <c r="AB8" s="203">
        <f t="shared" si="0"/>
        <v>62.8307481751825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42826</v>
      </c>
      <c r="C9" s="219" t="s">
        <v>172</v>
      </c>
      <c r="D9" s="203">
        <v>0</v>
      </c>
      <c r="E9" s="203">
        <v>0</v>
      </c>
      <c r="F9" s="203">
        <v>48.4953703703704</v>
      </c>
      <c r="G9" s="203">
        <v>0</v>
      </c>
      <c r="H9" s="203">
        <v>1.43518518518518</v>
      </c>
      <c r="I9" s="203">
        <v>0</v>
      </c>
      <c r="J9" s="203">
        <v>0</v>
      </c>
      <c r="K9" s="203">
        <v>1.22685185185185</v>
      </c>
      <c r="L9" s="203">
        <v>7.33796296296296</v>
      </c>
      <c r="M9" s="203">
        <v>0</v>
      </c>
      <c r="N9" s="203">
        <v>0</v>
      </c>
      <c r="O9" s="203">
        <v>0</v>
      </c>
      <c r="P9" s="203">
        <v>0</v>
      </c>
      <c r="Q9" s="203">
        <v>0</v>
      </c>
      <c r="R9" s="203">
        <v>0</v>
      </c>
      <c r="S9" s="203">
        <v>0</v>
      </c>
      <c r="T9" s="203">
        <v>0</v>
      </c>
      <c r="U9" s="203">
        <v>41.5046296296296</v>
      </c>
      <c r="Y9" s="219"/>
      <c r="Z9" s="203">
        <v>28.8</v>
      </c>
      <c r="AA9" s="203"/>
      <c r="AB9" s="203">
        <f t="shared" si="0"/>
        <v>58.4953703703704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42856</v>
      </c>
      <c r="C10" s="219" t="s">
        <v>173</v>
      </c>
      <c r="D10" s="203">
        <v>0</v>
      </c>
      <c r="E10" s="203">
        <v>0</v>
      </c>
      <c r="F10" s="203">
        <v>48.9264723521651</v>
      </c>
      <c r="G10" s="203">
        <v>0</v>
      </c>
      <c r="H10" s="203">
        <v>0</v>
      </c>
      <c r="I10" s="203">
        <v>0</v>
      </c>
      <c r="J10" s="203">
        <v>0</v>
      </c>
      <c r="K10" s="203">
        <v>1.31941945543961</v>
      </c>
      <c r="L10" s="203">
        <v>5.01379393067051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0</v>
      </c>
      <c r="S10" s="203">
        <v>0</v>
      </c>
      <c r="T10" s="203">
        <v>0</v>
      </c>
      <c r="U10" s="203">
        <v>44.7403142617248</v>
      </c>
      <c r="Y10" s="219"/>
      <c r="Z10" s="203">
        <v>26.8935483870968</v>
      </c>
      <c r="AA10" s="203"/>
      <c r="AB10" s="203">
        <f t="shared" si="0"/>
        <v>55.2596857382752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42887</v>
      </c>
      <c r="C11" s="219" t="s">
        <v>174</v>
      </c>
      <c r="D11" s="203">
        <v>0</v>
      </c>
      <c r="E11" s="203">
        <v>0</v>
      </c>
      <c r="F11" s="203">
        <v>51.1438979783988</v>
      </c>
      <c r="G11" s="203">
        <v>0</v>
      </c>
      <c r="H11" s="203">
        <v>0</v>
      </c>
      <c r="I11" s="203">
        <v>0</v>
      </c>
      <c r="J11" s="203">
        <v>0</v>
      </c>
      <c r="K11" s="203">
        <v>0.506646378902478</v>
      </c>
      <c r="L11" s="203">
        <v>0.150624599133169</v>
      </c>
      <c r="M11" s="203">
        <v>0.34128795534501</v>
      </c>
      <c r="N11" s="203">
        <v>0</v>
      </c>
      <c r="O11" s="203">
        <v>0</v>
      </c>
      <c r="P11" s="203">
        <v>0</v>
      </c>
      <c r="Q11" s="203">
        <v>0</v>
      </c>
      <c r="R11" s="203">
        <v>0</v>
      </c>
      <c r="S11" s="203">
        <v>0</v>
      </c>
      <c r="T11" s="203">
        <v>0</v>
      </c>
      <c r="U11" s="203">
        <v>47.8575430882206</v>
      </c>
      <c r="Y11" s="219"/>
      <c r="Z11" s="203">
        <v>24.34308</v>
      </c>
      <c r="AA11" s="203"/>
      <c r="AB11" s="203">
        <f t="shared" si="0"/>
        <v>52.1424569117794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42917</v>
      </c>
      <c r="C12" s="219" t="s">
        <v>175</v>
      </c>
      <c r="D12" s="203">
        <v>0</v>
      </c>
      <c r="E12" s="203">
        <v>0</v>
      </c>
      <c r="F12" s="203">
        <v>52.0314237825028</v>
      </c>
      <c r="G12" s="203">
        <v>0</v>
      </c>
      <c r="H12" s="203">
        <v>0</v>
      </c>
      <c r="I12" s="203">
        <v>0</v>
      </c>
      <c r="J12" s="203">
        <v>0</v>
      </c>
      <c r="K12" s="203">
        <v>0.339124736012588</v>
      </c>
      <c r="L12" s="203">
        <v>3.69403730299427</v>
      </c>
      <c r="M12" s="203">
        <v>1.56904537234624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42.3663688061441</v>
      </c>
      <c r="Y12" s="219"/>
      <c r="Z12" s="203">
        <v>26.6340290322581</v>
      </c>
      <c r="AA12" s="203"/>
      <c r="AB12" s="203">
        <f t="shared" si="0"/>
        <v>57.6336311938559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42948</v>
      </c>
      <c r="C13" s="219" t="s">
        <v>176</v>
      </c>
      <c r="D13" s="203">
        <v>0</v>
      </c>
      <c r="E13" s="203">
        <v>0</v>
      </c>
      <c r="F13" s="203">
        <v>54.2391395536779</v>
      </c>
      <c r="G13" s="203">
        <v>0</v>
      </c>
      <c r="H13" s="203">
        <v>0</v>
      </c>
      <c r="I13" s="203">
        <v>0</v>
      </c>
      <c r="J13" s="203">
        <v>0</v>
      </c>
      <c r="K13" s="203">
        <v>0.206014879081284</v>
      </c>
      <c r="L13" s="203">
        <v>3.68537728134296</v>
      </c>
      <c r="M13" s="203">
        <v>2.10859662321012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39.7608716626877</v>
      </c>
      <c r="Y13" s="219"/>
      <c r="Z13" s="203">
        <v>28.1846225806452</v>
      </c>
      <c r="AA13" s="203"/>
      <c r="AB13" s="203">
        <f t="shared" si="0"/>
        <v>60.2391283373123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42979</v>
      </c>
      <c r="C14" s="228" t="s">
        <v>177</v>
      </c>
      <c r="D14" s="203">
        <v>0</v>
      </c>
      <c r="E14" s="203">
        <v>0</v>
      </c>
      <c r="F14" s="203">
        <v>54.6804160263328</v>
      </c>
      <c r="G14" s="203">
        <v>0</v>
      </c>
      <c r="H14" s="203">
        <v>0</v>
      </c>
      <c r="I14" s="203">
        <v>0</v>
      </c>
      <c r="J14" s="203">
        <v>0</v>
      </c>
      <c r="K14" s="203">
        <v>0.287476447893097</v>
      </c>
      <c r="L14" s="203">
        <v>3.90488841721457</v>
      </c>
      <c r="M14" s="203">
        <v>2.3059204576625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38.821298650897</v>
      </c>
      <c r="Y14" s="219"/>
      <c r="Z14" s="203">
        <v>27.8283666666667</v>
      </c>
      <c r="AA14" s="203"/>
      <c r="AB14" s="203">
        <f t="shared" si="0"/>
        <v>61.178701349103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43009</v>
      </c>
      <c r="C15" s="228" t="s">
        <v>166</v>
      </c>
      <c r="D15" s="259">
        <v>0</v>
      </c>
      <c r="E15" s="259">
        <v>0</v>
      </c>
      <c r="F15" s="259">
        <v>52.4688728698728</v>
      </c>
      <c r="G15" s="259">
        <v>0</v>
      </c>
      <c r="H15" s="259">
        <v>0</v>
      </c>
      <c r="I15" s="259">
        <v>0</v>
      </c>
      <c r="J15" s="259">
        <v>0</v>
      </c>
      <c r="K15" s="259">
        <v>0.344434614025423</v>
      </c>
      <c r="L15" s="259">
        <v>5.78650151562711</v>
      </c>
      <c r="M15" s="259">
        <v>2.32982461619077</v>
      </c>
      <c r="N15" s="259">
        <v>0</v>
      </c>
      <c r="O15" s="259">
        <v>0</v>
      </c>
      <c r="P15" s="259">
        <v>0</v>
      </c>
      <c r="Q15" s="259">
        <v>0</v>
      </c>
      <c r="R15" s="259">
        <v>0</v>
      </c>
      <c r="S15" s="259">
        <v>0</v>
      </c>
      <c r="T15" s="259">
        <v>0</v>
      </c>
      <c r="U15" s="259">
        <v>39.0703663842839</v>
      </c>
      <c r="Z15" s="203">
        <v>28.096535483871</v>
      </c>
      <c r="AA15" s="203"/>
      <c r="AB15" s="203">
        <f t="shared" si="0"/>
        <v>60.9296336157161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22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42675</v>
      </c>
      <c r="E28" s="686">
        <v>0.135</v>
      </c>
      <c r="F28" s="251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42705</v>
      </c>
      <c r="E29" s="686">
        <v>0.13</v>
      </c>
      <c r="F29" s="251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42736</v>
      </c>
      <c r="E30" s="686">
        <v>0.125</v>
      </c>
      <c r="F30" s="251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42767</v>
      </c>
      <c r="E31" s="686">
        <v>0.13</v>
      </c>
      <c r="F31" s="251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42795</v>
      </c>
      <c r="E32" s="686">
        <v>0.095</v>
      </c>
      <c r="F32" s="251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42826</v>
      </c>
      <c r="E33" s="686">
        <v>0.09</v>
      </c>
      <c r="F33" s="251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42856</v>
      </c>
      <c r="E34" s="686">
        <v>0.075</v>
      </c>
      <c r="F34" s="251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42887</v>
      </c>
      <c r="E35" s="686">
        <v>0.09</v>
      </c>
      <c r="F35" s="251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42917</v>
      </c>
      <c r="E36" s="686">
        <v>0.11</v>
      </c>
      <c r="F36" s="251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42948</v>
      </c>
      <c r="E37" s="686">
        <v>0.135</v>
      </c>
      <c r="F37" s="251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42979</v>
      </c>
      <c r="E38" s="686">
        <v>0.12</v>
      </c>
      <c r="F38" s="251"/>
      <c r="G38" s="199"/>
      <c r="H38" s="191"/>
      <c r="I38" s="191"/>
      <c r="J38" s="191"/>
      <c r="AC38" s="694"/>
    </row>
    <row r="39" spans="1:29">
      <c r="A39" s="673"/>
      <c r="D39" s="682">
        <f t="shared" si="1"/>
        <v>43009</v>
      </c>
      <c r="E39" s="686">
        <v>0.125</v>
      </c>
      <c r="F39" s="251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Nov</v>
      </c>
      <c r="D49" s="223">
        <v>79000</v>
      </c>
      <c r="E49" s="223">
        <v>245406</v>
      </c>
      <c r="F49" s="225">
        <v>422.75</v>
      </c>
      <c r="G49" s="225">
        <v>379</v>
      </c>
      <c r="H49" s="225">
        <f>E49/J49/F49*100</f>
        <v>80.6248767987384</v>
      </c>
      <c r="I49" s="225">
        <f>D49/J49/G49*100</f>
        <v>28.9504544121958</v>
      </c>
      <c r="J49">
        <v>720</v>
      </c>
    </row>
    <row r="50" spans="1:10">
      <c r="A50" s="673"/>
      <c r="B50" s="219"/>
      <c r="C50" s="219" t="str">
        <f t="shared" ref="C50:C60" si="2">C5</f>
        <v>dec</v>
      </c>
      <c r="D50" s="251">
        <v>78000</v>
      </c>
      <c r="E50" s="251">
        <v>234033</v>
      </c>
      <c r="F50" s="225">
        <v>422.75</v>
      </c>
      <c r="G50" s="225">
        <v>379</v>
      </c>
      <c r="H50" s="225">
        <f t="shared" ref="H50:H60" si="3">E50/J50/F50*100</f>
        <v>74.4081570363022</v>
      </c>
      <c r="I50" s="225">
        <f t="shared" ref="I50:I60" si="4">D50/J50/G50*100</f>
        <v>27.6619286747808</v>
      </c>
      <c r="J50">
        <v>744</v>
      </c>
    </row>
    <row r="51" spans="1:10">
      <c r="A51" s="673"/>
      <c r="B51" s="219"/>
      <c r="C51" s="219" t="str">
        <f t="shared" si="2"/>
        <v>Jan</v>
      </c>
      <c r="D51" s="251">
        <v>87000</v>
      </c>
      <c r="E51" s="251">
        <v>265071</v>
      </c>
      <c r="F51" s="225">
        <v>422.75</v>
      </c>
      <c r="G51" s="225">
        <v>379</v>
      </c>
      <c r="H51" s="225">
        <f t="shared" si="3"/>
        <v>84.2763396348792</v>
      </c>
      <c r="I51" s="225">
        <f t="shared" si="4"/>
        <v>30.8536896757171</v>
      </c>
      <c r="J51">
        <v>744</v>
      </c>
    </row>
    <row r="52" spans="1:10">
      <c r="A52" s="673"/>
      <c r="B52" s="219"/>
      <c r="C52" s="219" t="str">
        <f t="shared" si="2"/>
        <v>Feb</v>
      </c>
      <c r="D52" s="251">
        <v>85000</v>
      </c>
      <c r="E52" s="251">
        <v>248059</v>
      </c>
      <c r="F52" s="225">
        <v>422.75</v>
      </c>
      <c r="G52" s="225">
        <v>379</v>
      </c>
      <c r="H52" s="225">
        <f t="shared" si="3"/>
        <v>87.3176621328602</v>
      </c>
      <c r="I52" s="225">
        <f t="shared" si="4"/>
        <v>33.3741676089961</v>
      </c>
      <c r="J52">
        <v>672</v>
      </c>
    </row>
    <row r="53" spans="1:10">
      <c r="A53" s="673"/>
      <c r="B53" s="219"/>
      <c r="C53" s="219" t="str">
        <f t="shared" si="2"/>
        <v>mar</v>
      </c>
      <c r="D53" s="251">
        <v>84000</v>
      </c>
      <c r="E53" s="251">
        <v>268906</v>
      </c>
      <c r="F53" s="225">
        <v>422.75</v>
      </c>
      <c r="G53" s="225">
        <v>379</v>
      </c>
      <c r="H53" s="225">
        <f t="shared" si="3"/>
        <v>85.4956347011058</v>
      </c>
      <c r="I53" s="225">
        <f t="shared" si="4"/>
        <v>29.7897693420717</v>
      </c>
      <c r="J53">
        <v>744</v>
      </c>
    </row>
    <row r="54" spans="1:10">
      <c r="A54" s="673"/>
      <c r="B54" s="219"/>
      <c r="C54" s="219" t="str">
        <f t="shared" si="2"/>
        <v>apr</v>
      </c>
      <c r="D54" s="251">
        <v>88000</v>
      </c>
      <c r="E54" s="251">
        <v>257746</v>
      </c>
      <c r="F54" s="225">
        <v>422.75</v>
      </c>
      <c r="G54" s="225">
        <v>379</v>
      </c>
      <c r="H54" s="225">
        <f t="shared" si="3"/>
        <v>84.6790196464945</v>
      </c>
      <c r="I54" s="225">
        <f t="shared" si="4"/>
        <v>32.2486074464966</v>
      </c>
      <c r="J54">
        <v>720</v>
      </c>
    </row>
    <row r="55" spans="1:10">
      <c r="A55" s="673"/>
      <c r="B55" s="219"/>
      <c r="C55" s="219" t="str">
        <f t="shared" si="2"/>
        <v>May</v>
      </c>
      <c r="D55" s="251">
        <v>78000</v>
      </c>
      <c r="E55" s="251">
        <v>241727</v>
      </c>
      <c r="F55" s="225">
        <v>422.75</v>
      </c>
      <c r="G55" s="225">
        <v>379</v>
      </c>
      <c r="H55" s="225">
        <f t="shared" si="3"/>
        <v>76.854377698505</v>
      </c>
      <c r="I55" s="225">
        <f t="shared" si="4"/>
        <v>27.6619286747808</v>
      </c>
      <c r="J55">
        <v>744</v>
      </c>
    </row>
    <row r="56" spans="1:10">
      <c r="A56" s="673"/>
      <c r="B56" s="219"/>
      <c r="C56" s="219" t="str">
        <f t="shared" si="2"/>
        <v>June</v>
      </c>
      <c r="D56" s="251">
        <v>98000</v>
      </c>
      <c r="E56" s="251">
        <v>206443</v>
      </c>
      <c r="F56" s="225">
        <v>422.75</v>
      </c>
      <c r="G56" s="225">
        <v>379</v>
      </c>
      <c r="H56" s="225">
        <f t="shared" si="3"/>
        <v>67.8241014521322</v>
      </c>
      <c r="I56" s="225">
        <f t="shared" si="4"/>
        <v>35.9132219290531</v>
      </c>
      <c r="J56">
        <v>720</v>
      </c>
    </row>
    <row r="57" spans="1:10">
      <c r="A57" s="673"/>
      <c r="B57" s="219"/>
      <c r="C57" s="219" t="str">
        <f t="shared" si="2"/>
        <v>July</v>
      </c>
      <c r="D57" s="251">
        <v>78000</v>
      </c>
      <c r="E57" s="251">
        <v>229514</v>
      </c>
      <c r="F57" s="225">
        <v>422.75</v>
      </c>
      <c r="G57" s="225">
        <v>379</v>
      </c>
      <c r="H57" s="225">
        <f t="shared" si="3"/>
        <v>72.9713918722141</v>
      </c>
      <c r="I57" s="225">
        <f t="shared" si="4"/>
        <v>27.6619286747808</v>
      </c>
      <c r="J57">
        <v>744</v>
      </c>
    </row>
    <row r="58" spans="1:10">
      <c r="A58" s="673"/>
      <c r="B58" s="219"/>
      <c r="C58" s="219" t="str">
        <f t="shared" si="2"/>
        <v>Aug</v>
      </c>
      <c r="D58" s="251">
        <v>72000</v>
      </c>
      <c r="E58" s="251">
        <v>244944</v>
      </c>
      <c r="F58" s="225">
        <v>422.75</v>
      </c>
      <c r="G58" s="225">
        <v>379</v>
      </c>
      <c r="H58" s="225">
        <f t="shared" si="3"/>
        <v>77.8771866236814</v>
      </c>
      <c r="I58" s="225">
        <f t="shared" si="4"/>
        <v>25.53408800749</v>
      </c>
      <c r="J58">
        <v>744</v>
      </c>
    </row>
    <row r="59" spans="1:10">
      <c r="A59" s="673"/>
      <c r="B59" s="219"/>
      <c r="C59" s="219" t="str">
        <f t="shared" si="2"/>
        <v>Sep</v>
      </c>
      <c r="D59" s="251">
        <v>79000</v>
      </c>
      <c r="E59" s="251">
        <v>259524</v>
      </c>
      <c r="F59" s="225">
        <v>422.75</v>
      </c>
      <c r="G59" s="225">
        <v>379</v>
      </c>
      <c r="H59" s="225">
        <f t="shared" si="3"/>
        <v>85.2631578947368</v>
      </c>
      <c r="I59" s="225">
        <f t="shared" si="4"/>
        <v>28.9504544121958</v>
      </c>
      <c r="J59">
        <v>720</v>
      </c>
    </row>
    <row r="60" spans="1:10">
      <c r="A60" s="673"/>
      <c r="B60" s="228"/>
      <c r="C60" s="224" t="str">
        <f t="shared" si="2"/>
        <v>Oct</v>
      </c>
      <c r="D60" s="252">
        <v>83000</v>
      </c>
      <c r="E60" s="252">
        <v>269150</v>
      </c>
      <c r="F60" s="225">
        <v>422.75</v>
      </c>
      <c r="G60" s="225">
        <v>379</v>
      </c>
      <c r="H60" s="225">
        <f t="shared" si="3"/>
        <v>85.5732117535593</v>
      </c>
      <c r="I60" s="225">
        <f t="shared" si="4"/>
        <v>29.4351292308565</v>
      </c>
      <c r="J60">
        <v>744</v>
      </c>
    </row>
    <row r="61" spans="1:12">
      <c r="A61" s="673"/>
      <c r="D61" s="684">
        <f>SUM(D49:D60)/8760</f>
        <v>112.899543378995</v>
      </c>
      <c r="E61" s="684">
        <f>SUM(E49:E60)/8760</f>
        <v>339.100799086758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>
        <f>113/379*100</f>
        <v>29.8153034300792</v>
      </c>
      <c r="E62" s="690"/>
      <c r="F62" s="847">
        <f>E61/422.75*100</f>
        <v>80.2130808011255</v>
      </c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  <row r="67" spans="1:19">
      <c r="A67" s="675"/>
      <c r="B67" s="676"/>
      <c r="C67" s="676"/>
      <c r="D67" s="676"/>
      <c r="E67" s="676"/>
      <c r="F67" s="676"/>
      <c r="G67" s="676"/>
      <c r="H67" s="676"/>
      <c r="I67" s="676"/>
      <c r="J67" s="676"/>
      <c r="K67" s="676"/>
      <c r="L67" s="676"/>
      <c r="M67" s="676"/>
      <c r="N67" s="676"/>
      <c r="O67" s="676"/>
      <c r="P67" s="676"/>
      <c r="Q67" s="676"/>
      <c r="R67" s="676"/>
      <c r="S67" s="676"/>
    </row>
  </sheetData>
  <mergeCells count="8">
    <mergeCell ref="C1:O1"/>
    <mergeCell ref="P1:AH1"/>
    <mergeCell ref="A20:O20"/>
    <mergeCell ref="A44:O44"/>
    <mergeCell ref="A67:S67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399975585192419"/>
  </sheetPr>
  <dimension ref="A1:T63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5.5" style="156" customWidth="1"/>
    <col min="9" max="9" width="11.8365384615385" style="156" customWidth="1"/>
    <col min="10" max="10" width="14.3365384615385" style="156" customWidth="1"/>
    <col min="11" max="11" width="11.5" style="156"/>
    <col min="12" max="12" width="12.5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304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305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306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7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9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307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281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308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259</v>
      </c>
      <c r="E13" s="67" t="s">
        <v>178</v>
      </c>
      <c r="F13" s="67" t="s">
        <v>23</v>
      </c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>
        <v>1</v>
      </c>
      <c r="G14" s="68"/>
      <c r="H14" s="64"/>
      <c r="I14" s="57" t="s">
        <v>248</v>
      </c>
      <c r="J14" s="64"/>
      <c r="K14" s="703">
        <v>34202.8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2500</v>
      </c>
      <c r="E15" s="69">
        <v>2500</v>
      </c>
      <c r="F15" s="69">
        <v>2500</v>
      </c>
      <c r="G15" s="69"/>
      <c r="H15" s="98">
        <f>D15+E15+F15</f>
        <v>7500</v>
      </c>
      <c r="I15" s="57" t="s">
        <v>249</v>
      </c>
      <c r="J15" s="64"/>
      <c r="K15" s="704">
        <v>93.706301369863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2285</v>
      </c>
      <c r="E16" s="69">
        <v>2285</v>
      </c>
      <c r="F16" s="69">
        <v>2285</v>
      </c>
      <c r="G16" s="69"/>
      <c r="H16" s="98">
        <f>D16+E16+F16</f>
        <v>6855</v>
      </c>
      <c r="I16" s="56" t="s">
        <v>157</v>
      </c>
      <c r="J16" s="56"/>
      <c r="K16" s="704">
        <v>6.73316219724701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/>
      <c r="H17" s="98"/>
      <c r="I17" s="56" t="s">
        <v>58</v>
      </c>
      <c r="J17" s="56"/>
      <c r="K17" s="704">
        <v>70.1397838773433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1100</v>
      </c>
      <c r="E18" s="71">
        <v>1100</v>
      </c>
      <c r="F18" s="71">
        <v>1100</v>
      </c>
      <c r="G18" s="71"/>
      <c r="H18" s="98">
        <f>D18+E18+F18</f>
        <v>3300</v>
      </c>
      <c r="I18" s="56" t="s">
        <v>68</v>
      </c>
      <c r="J18" s="56"/>
      <c r="K18" s="704">
        <v>14.0429438525501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309</v>
      </c>
      <c r="J19" s="56"/>
      <c r="K19" s="704">
        <v>9.04645233723555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/>
      <c r="J20" s="56"/>
      <c r="K20" s="701"/>
      <c r="L20" s="123"/>
      <c r="M20" s="178"/>
    </row>
    <row r="21" ht="15" customHeight="1" spans="1:14">
      <c r="A21" s="157"/>
      <c r="B21" s="66" t="s">
        <v>71</v>
      </c>
      <c r="C21" s="64" t="s">
        <v>59</v>
      </c>
      <c r="D21" s="75">
        <v>9.303</v>
      </c>
      <c r="E21" s="75">
        <v>9.3736</v>
      </c>
      <c r="F21" s="77"/>
      <c r="G21" s="77"/>
      <c r="H21" s="102"/>
      <c r="I21" s="56"/>
      <c r="J21" s="56"/>
      <c r="K21" s="702"/>
      <c r="L21" s="123"/>
      <c r="M21" s="178"/>
      <c r="N21" s="156" t="s">
        <v>77</v>
      </c>
    </row>
    <row r="22" ht="15" customHeight="1" spans="1:13">
      <c r="A22" s="157"/>
      <c r="B22" s="66" t="s">
        <v>73</v>
      </c>
      <c r="C22" s="64" t="s">
        <v>59</v>
      </c>
      <c r="D22" s="75">
        <v>79.04</v>
      </c>
      <c r="E22" s="75">
        <v>79.0916</v>
      </c>
      <c r="F22" s="77"/>
      <c r="G22" s="77"/>
      <c r="H22" s="102"/>
      <c r="I22" s="56"/>
      <c r="J22" s="56"/>
      <c r="K22" s="702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77"/>
      <c r="G23" s="78"/>
      <c r="H23" s="75" t="s">
        <v>310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311</v>
      </c>
      <c r="I24" s="127" t="s">
        <v>80</v>
      </c>
      <c r="J24" s="56"/>
      <c r="K24" s="122">
        <v>32.8363535589311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77" t="s">
        <v>296</v>
      </c>
      <c r="I25" s="128" t="s">
        <v>83</v>
      </c>
      <c r="J25" s="56"/>
      <c r="K25" s="122">
        <v>95.7276460650733</v>
      </c>
      <c r="L25" s="123" t="s">
        <v>59</v>
      </c>
      <c r="M25" s="178"/>
      <c r="N25" s="179"/>
    </row>
    <row r="26" ht="15" customHeight="1" spans="1:14">
      <c r="A26" s="157"/>
      <c r="B26" s="57" t="s">
        <v>312</v>
      </c>
      <c r="C26" s="56" t="s">
        <v>59</v>
      </c>
      <c r="D26" s="78"/>
      <c r="E26" s="78"/>
      <c r="F26" s="78"/>
      <c r="G26" s="78"/>
      <c r="H26" s="78" t="s">
        <v>313</v>
      </c>
      <c r="I26" s="57" t="s">
        <v>86</v>
      </c>
      <c r="J26" s="56"/>
      <c r="K26" s="122">
        <v>81.5640792784301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294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314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7.71</v>
      </c>
      <c r="E29" s="75">
        <v>7.73</v>
      </c>
      <c r="F29" s="75">
        <v>7.68</v>
      </c>
      <c r="G29" s="80"/>
      <c r="H29" s="78"/>
      <c r="I29" s="66" t="s">
        <v>26</v>
      </c>
      <c r="J29" s="64"/>
      <c r="K29" s="13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43.0339</v>
      </c>
      <c r="E30" s="77">
        <v>42.62055</v>
      </c>
      <c r="F30" s="77">
        <v>42.9</v>
      </c>
      <c r="G30" s="77"/>
      <c r="H30" s="78"/>
      <c r="I30" s="66" t="s">
        <v>96</v>
      </c>
      <c r="J30" s="92"/>
      <c r="K30" s="135">
        <f>2*3888</f>
        <v>7776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1.86</v>
      </c>
      <c r="E31" s="75">
        <v>1.88958</v>
      </c>
      <c r="F31" s="75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5.25</v>
      </c>
      <c r="E32" s="75">
        <v>5.334</v>
      </c>
      <c r="F32" s="75"/>
      <c r="G32" s="80"/>
      <c r="H32" s="78"/>
      <c r="I32" s="66" t="s">
        <v>66</v>
      </c>
      <c r="J32" s="92"/>
      <c r="K32" s="135">
        <f>2*1900</f>
        <v>3800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272</v>
      </c>
      <c r="E33" s="77">
        <v>228</v>
      </c>
      <c r="F33" s="80"/>
      <c r="G33" s="80"/>
      <c r="H33" s="78"/>
      <c r="I33" s="57" t="s">
        <v>103</v>
      </c>
      <c r="J33" s="64"/>
      <c r="K33" s="136">
        <v>1.1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0.22375</v>
      </c>
      <c r="E34" s="80">
        <v>0.210972</v>
      </c>
      <c r="F34" s="80"/>
      <c r="G34" s="80"/>
      <c r="H34" s="78"/>
      <c r="I34" s="66" t="s">
        <v>105</v>
      </c>
      <c r="J34" s="64"/>
      <c r="K34" s="137">
        <v>6.38221344900386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73.5945508782787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61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52.1465879786935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 t="s">
        <v>316</v>
      </c>
      <c r="H41" s="67" t="s">
        <v>317</v>
      </c>
      <c r="I41" s="66"/>
      <c r="J41" s="64" t="s">
        <v>113</v>
      </c>
      <c r="K41" s="143" t="s">
        <v>116</v>
      </c>
      <c r="L41" s="145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 t="s">
        <v>119</v>
      </c>
      <c r="H42" s="102" t="s">
        <v>119</v>
      </c>
      <c r="I42" s="66"/>
      <c r="J42" s="64" t="s">
        <v>113</v>
      </c>
      <c r="K42" s="143" t="s">
        <v>120</v>
      </c>
      <c r="L42" s="146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716</v>
      </c>
      <c r="E43" s="77">
        <v>365</v>
      </c>
      <c r="F43" s="77">
        <v>400</v>
      </c>
      <c r="G43" s="78">
        <v>400</v>
      </c>
      <c r="H43" s="102">
        <v>889</v>
      </c>
      <c r="I43" s="66"/>
      <c r="J43" s="64" t="s">
        <v>123</v>
      </c>
      <c r="K43" s="144" t="s">
        <v>124</v>
      </c>
      <c r="L43" s="147" t="s">
        <v>117</v>
      </c>
    </row>
    <row r="44" ht="15" customHeight="1" spans="1:17">
      <c r="A44" s="157"/>
      <c r="B44" s="66" t="s">
        <v>125</v>
      </c>
      <c r="C44" s="64" t="s">
        <v>122</v>
      </c>
      <c r="D44" s="77">
        <v>644</v>
      </c>
      <c r="E44" s="77">
        <v>426</v>
      </c>
      <c r="F44" s="77">
        <v>359</v>
      </c>
      <c r="G44" s="78">
        <v>445</v>
      </c>
      <c r="H44" s="102">
        <v>875</v>
      </c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40.3</v>
      </c>
      <c r="E45" s="75">
        <v>39</v>
      </c>
      <c r="F45" s="78">
        <v>42.5</v>
      </c>
      <c r="G45" s="78">
        <v>40.1</v>
      </c>
      <c r="H45" s="102">
        <v>42</v>
      </c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36.2</v>
      </c>
      <c r="E46" s="78">
        <v>45.5</v>
      </c>
      <c r="F46" s="78">
        <v>38.2</v>
      </c>
      <c r="G46" s="78">
        <v>44.6</v>
      </c>
      <c r="H46" s="102">
        <v>41.4</v>
      </c>
      <c r="I46" s="66"/>
      <c r="J46" s="64" t="s">
        <v>131</v>
      </c>
      <c r="K46" s="79">
        <v>237.400534459167</v>
      </c>
      <c r="L46" s="147">
        <v>123.769452405691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318</v>
      </c>
      <c r="E47" s="70" t="s">
        <v>318</v>
      </c>
      <c r="F47" s="70" t="s">
        <v>133</v>
      </c>
      <c r="G47" s="70" t="s">
        <v>133</v>
      </c>
      <c r="H47" s="70" t="s">
        <v>318</v>
      </c>
      <c r="I47" s="66"/>
      <c r="J47" s="64" t="s">
        <v>134</v>
      </c>
      <c r="K47" s="79">
        <v>794.93614949359</v>
      </c>
      <c r="L47" s="147">
        <v>414.442251128262</v>
      </c>
    </row>
    <row r="48" ht="15" customHeight="1" spans="1:13">
      <c r="A48" s="157"/>
      <c r="B48" s="66" t="s">
        <v>135</v>
      </c>
      <c r="C48" s="64" t="s">
        <v>240</v>
      </c>
      <c r="D48" s="69">
        <v>5425</v>
      </c>
      <c r="E48" s="69">
        <v>750</v>
      </c>
      <c r="F48" s="69">
        <v>8327</v>
      </c>
      <c r="G48" s="69">
        <v>8490</v>
      </c>
      <c r="H48" s="98">
        <v>8628</v>
      </c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4778.26815642458</v>
      </c>
      <c r="E49" s="69">
        <v>662.191780821918</v>
      </c>
      <c r="F49" s="69">
        <v>7599.95</v>
      </c>
      <c r="G49" s="69">
        <v>8292.675</v>
      </c>
      <c r="H49" s="98">
        <f>6020300/889</f>
        <v>6771.99100112486</v>
      </c>
      <c r="I49" s="66"/>
      <c r="J49" s="64" t="s">
        <v>139</v>
      </c>
      <c r="K49" s="150">
        <f>15735989/365</f>
        <v>43112.298630137</v>
      </c>
      <c r="L49" s="231"/>
    </row>
    <row r="50" ht="15" customHeight="1" spans="1:20">
      <c r="A50" s="157"/>
      <c r="B50" s="57" t="s">
        <v>140</v>
      </c>
      <c r="C50" s="64" t="s">
        <v>59</v>
      </c>
      <c r="D50" s="69">
        <f>D49/8760*100</f>
        <v>54.5464401418331</v>
      </c>
      <c r="E50" s="69">
        <f>E49/8760*100</f>
        <v>7.55926690435979</v>
      </c>
      <c r="F50" s="69">
        <f>F49/8760*100</f>
        <v>86.7574200913242</v>
      </c>
      <c r="G50" s="69">
        <f>G49/8760*100</f>
        <v>94.6652397260274</v>
      </c>
      <c r="H50" s="69">
        <f>H49/8760*100</f>
        <v>77.3058333461742</v>
      </c>
      <c r="I50" s="66"/>
      <c r="J50" s="64" t="s">
        <v>141</v>
      </c>
      <c r="K50" s="150">
        <f>K49/K15</f>
        <v>460.078970142795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1447590</v>
      </c>
      <c r="D55" s="69">
        <f>C55/(D49*D43+E49*E43+F49*F43+G49*G43+H49*H43)*100</f>
        <v>9.02471214672553</v>
      </c>
      <c r="E55" s="111" t="s">
        <v>147</v>
      </c>
      <c r="F55" s="64"/>
      <c r="G55" s="64" t="s">
        <v>148</v>
      </c>
      <c r="H55" s="64"/>
      <c r="I55" s="69" t="s">
        <v>117</v>
      </c>
      <c r="J55" s="69" t="s">
        <v>117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319</v>
      </c>
      <c r="H56" s="64"/>
      <c r="I56" s="69">
        <v>9275312</v>
      </c>
      <c r="J56" s="69">
        <f>I56/(D49*D44+E49*E44+F49*F44+G49*G44+H49*H44)*100</f>
        <v>59.065580419048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320</v>
      </c>
      <c r="H57" s="64"/>
      <c r="I57" s="69">
        <v>2397724</v>
      </c>
      <c r="J57" s="69">
        <f>I57/(D49*D44+E49*E44+F49*F44+G49*G44+H49*H44)*100</f>
        <v>15.2688081807578</v>
      </c>
      <c r="K57" s="111" t="s">
        <v>149</v>
      </c>
      <c r="L57" s="114"/>
    </row>
    <row r="58" ht="15" customHeight="1" spans="1:12">
      <c r="A58" s="157"/>
      <c r="B58" s="66"/>
      <c r="C58" s="92"/>
      <c r="D58" s="69"/>
      <c r="E58" s="64"/>
      <c r="F58" s="64"/>
      <c r="G58" s="64"/>
      <c r="H58" s="64"/>
      <c r="I58" s="69"/>
      <c r="J58" s="69"/>
      <c r="K58" s="111"/>
      <c r="L58" s="114"/>
    </row>
    <row r="59" ht="15" customHeight="1" spans="1:12">
      <c r="A59" s="157"/>
      <c r="B59" s="81"/>
      <c r="C59" s="94"/>
      <c r="D59" s="89"/>
      <c r="E59" s="94"/>
      <c r="F59" s="94"/>
      <c r="G59" s="94"/>
      <c r="H59" s="94"/>
      <c r="I59" s="89"/>
      <c r="J59" s="89"/>
      <c r="K59" s="153"/>
      <c r="L59" s="115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ht="16.8" spans="1:8">
      <c r="A62" s="157"/>
      <c r="G62"/>
      <c r="H62"/>
    </row>
    <row r="63" ht="16.8" spans="7:8">
      <c r="G63"/>
      <c r="H63"/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399975585192419"/>
  </sheetPr>
  <dimension ref="A1:AJ66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321</v>
      </c>
      <c r="K2" t="s">
        <v>159</v>
      </c>
      <c r="L2" t="s">
        <v>159</v>
      </c>
      <c r="M2" t="s">
        <v>159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322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42644</v>
      </c>
      <c r="C4" s="219" t="s">
        <v>166</v>
      </c>
      <c r="D4" s="674"/>
      <c r="E4" s="674"/>
      <c r="F4" s="674">
        <v>73.9577565578362</v>
      </c>
      <c r="G4" s="674"/>
      <c r="H4" s="674">
        <v>24.823769788459</v>
      </c>
      <c r="I4" s="674">
        <v>1.20163585673625</v>
      </c>
      <c r="J4" s="674">
        <v>0</v>
      </c>
      <c r="K4" s="674"/>
      <c r="L4" s="674"/>
      <c r="M4" s="674"/>
      <c r="N4" s="674"/>
      <c r="O4" s="674"/>
      <c r="P4" s="674"/>
      <c r="Q4" s="674"/>
      <c r="R4" s="674"/>
      <c r="S4" s="674"/>
      <c r="T4" s="674"/>
      <c r="U4" s="674">
        <v>0.0168377969685489</v>
      </c>
      <c r="Y4" s="219"/>
      <c r="Z4" s="203">
        <v>99.6222580645161</v>
      </c>
      <c r="AA4" s="203"/>
      <c r="AB4" s="203">
        <f>SUM(D4:O4)</f>
        <v>99.9831622030314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42675</v>
      </c>
      <c r="C5" s="219" t="s">
        <v>167</v>
      </c>
      <c r="D5" s="203"/>
      <c r="E5" s="203"/>
      <c r="F5" s="203">
        <v>55.5497889315016</v>
      </c>
      <c r="G5" s="203"/>
      <c r="H5" s="203">
        <v>41.4843893798901</v>
      </c>
      <c r="I5" s="203">
        <v>2.94952762296739</v>
      </c>
      <c r="J5" s="203">
        <v>0</v>
      </c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>
        <v>0.0162940656409452</v>
      </c>
      <c r="Y5" s="219"/>
      <c r="Z5" s="203">
        <v>110.469666666667</v>
      </c>
      <c r="AA5" s="203"/>
      <c r="AB5" s="203">
        <f t="shared" ref="AB5:AB15" si="0">SUM(D5:O5)</f>
        <v>99.9837059343591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42705</v>
      </c>
      <c r="C6" s="219" t="s">
        <v>168</v>
      </c>
      <c r="D6" s="203"/>
      <c r="E6" s="203"/>
      <c r="F6" s="203">
        <v>54.4765781082737</v>
      </c>
      <c r="G6" s="203"/>
      <c r="H6" s="203">
        <v>35.6892613646121</v>
      </c>
      <c r="I6" s="203">
        <v>9.80296186894273</v>
      </c>
      <c r="J6" s="203">
        <v>0</v>
      </c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>
        <v>0.0311986581714724</v>
      </c>
      <c r="Y6" s="219"/>
      <c r="Z6" s="203">
        <v>112.701290322581</v>
      </c>
      <c r="AA6" s="203"/>
      <c r="AB6" s="203">
        <f t="shared" si="0"/>
        <v>99.9688013418285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42736</v>
      </c>
      <c r="C7" s="219" t="s">
        <v>169</v>
      </c>
      <c r="D7" s="203"/>
      <c r="E7" s="203"/>
      <c r="F7" s="203">
        <v>57.6699868349593</v>
      </c>
      <c r="G7" s="203"/>
      <c r="H7" s="203">
        <v>34.2970635988046</v>
      </c>
      <c r="I7" s="203">
        <v>8.00138758960331</v>
      </c>
      <c r="J7" s="203">
        <v>0</v>
      </c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>
        <v>0.0315619766327636</v>
      </c>
      <c r="Y7" s="219"/>
      <c r="Z7" s="203">
        <v>113.448064516129</v>
      </c>
      <c r="AA7" s="203"/>
      <c r="AB7" s="203">
        <f t="shared" si="0"/>
        <v>99.9684380233672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42767</v>
      </c>
      <c r="C8" s="219" t="s">
        <v>170</v>
      </c>
      <c r="D8" s="203"/>
      <c r="E8" s="203"/>
      <c r="F8" s="203">
        <v>86.0046993821739</v>
      </c>
      <c r="G8" s="203"/>
      <c r="H8" s="203">
        <v>0.355081113138001</v>
      </c>
      <c r="I8" s="203">
        <v>13.6064380034382</v>
      </c>
      <c r="J8" s="203">
        <v>0</v>
      </c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>
        <v>0.0337815012499156</v>
      </c>
      <c r="Y8" s="219"/>
      <c r="Z8" s="203">
        <v>95.1492857142857</v>
      </c>
      <c r="AA8" s="203"/>
      <c r="AB8" s="203">
        <f t="shared" si="0"/>
        <v>99.9662184987501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42795</v>
      </c>
      <c r="C9" s="219" t="s">
        <v>171</v>
      </c>
      <c r="D9" s="203"/>
      <c r="E9" s="203"/>
      <c r="F9" s="203">
        <v>84.7653279878344</v>
      </c>
      <c r="G9" s="203"/>
      <c r="H9" s="203">
        <v>0</v>
      </c>
      <c r="I9" s="203">
        <v>15.1885901246515</v>
      </c>
      <c r="J9" s="203">
        <v>0</v>
      </c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>
        <v>0.0460818875141126</v>
      </c>
      <c r="Y9" s="219"/>
      <c r="Z9" s="203">
        <v>84.001935483871</v>
      </c>
      <c r="AA9" s="203"/>
      <c r="AB9" s="203">
        <f t="shared" si="0"/>
        <v>99.9539181124859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42826</v>
      </c>
      <c r="C10" s="219" t="s">
        <v>172</v>
      </c>
      <c r="D10" s="203"/>
      <c r="E10" s="203"/>
      <c r="F10" s="203">
        <v>91.5537472588045</v>
      </c>
      <c r="G10" s="203"/>
      <c r="H10" s="203">
        <v>0</v>
      </c>
      <c r="I10" s="203">
        <v>8.40263154764029</v>
      </c>
      <c r="J10" s="203">
        <v>0</v>
      </c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>
        <v>0.0436211935551669</v>
      </c>
      <c r="Y10" s="219"/>
      <c r="Z10" s="203">
        <v>84.057</v>
      </c>
      <c r="AA10" s="203"/>
      <c r="AB10" s="203">
        <f t="shared" si="0"/>
        <v>99.9563788064448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42856</v>
      </c>
      <c r="C11" s="219" t="s">
        <v>173</v>
      </c>
      <c r="D11" s="203"/>
      <c r="E11" s="203"/>
      <c r="F11" s="203">
        <v>85.922226473609</v>
      </c>
      <c r="G11" s="203"/>
      <c r="H11" s="203">
        <v>0</v>
      </c>
      <c r="I11" s="203">
        <v>0</v>
      </c>
      <c r="J11" s="203">
        <v>14.0330668385122</v>
      </c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>
        <v>0.0447066878788489</v>
      </c>
      <c r="Y11" s="219"/>
      <c r="Z11" s="203">
        <v>80.091935483871</v>
      </c>
      <c r="AA11" s="203"/>
      <c r="AB11" s="203">
        <f t="shared" si="0"/>
        <v>99.9552933121211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42887</v>
      </c>
      <c r="C12" s="219" t="s">
        <v>174</v>
      </c>
      <c r="D12" s="203"/>
      <c r="E12" s="203"/>
      <c r="F12" s="203">
        <v>63.4126775114965</v>
      </c>
      <c r="G12" s="203"/>
      <c r="H12" s="203">
        <v>0</v>
      </c>
      <c r="I12" s="203">
        <v>0</v>
      </c>
      <c r="J12" s="203">
        <v>36.5455908271377</v>
      </c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>
        <v>0.0417316613658003</v>
      </c>
      <c r="Y12" s="219"/>
      <c r="Z12" s="203">
        <v>82.2716666666667</v>
      </c>
      <c r="AA12" s="203"/>
      <c r="AB12" s="203">
        <f t="shared" si="0"/>
        <v>99.9582683386342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42917</v>
      </c>
      <c r="C13" s="219" t="s">
        <v>175</v>
      </c>
      <c r="D13" s="203"/>
      <c r="E13" s="203"/>
      <c r="F13" s="203">
        <v>62.5213485988994</v>
      </c>
      <c r="G13" s="203"/>
      <c r="H13" s="203">
        <v>0</v>
      </c>
      <c r="I13" s="203">
        <v>0</v>
      </c>
      <c r="J13" s="203">
        <v>37.4005127384625</v>
      </c>
      <c r="K13" s="203"/>
      <c r="L13" s="203"/>
      <c r="M13" s="203"/>
      <c r="N13" s="203"/>
      <c r="O13" s="203"/>
      <c r="P13" s="203"/>
      <c r="Q13" s="203"/>
      <c r="R13" s="203"/>
      <c r="S13" s="203"/>
      <c r="T13" s="203"/>
      <c r="U13" s="203">
        <v>0.0781386626381846</v>
      </c>
      <c r="Y13" s="219"/>
      <c r="Z13" s="203">
        <v>86.6945161290322</v>
      </c>
      <c r="AA13" s="203"/>
      <c r="AB13" s="203">
        <f t="shared" si="0"/>
        <v>99.9218613373618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42948</v>
      </c>
      <c r="C14" s="228" t="s">
        <v>176</v>
      </c>
      <c r="D14" s="203"/>
      <c r="E14" s="203"/>
      <c r="F14" s="203">
        <v>67.4913528055342</v>
      </c>
      <c r="G14" s="203"/>
      <c r="H14" s="203">
        <v>0</v>
      </c>
      <c r="I14" s="203">
        <v>1.47889197658606</v>
      </c>
      <c r="J14" s="203">
        <v>30.9883669366759</v>
      </c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>
        <v>0.0413882812038077</v>
      </c>
      <c r="Y14" s="219"/>
      <c r="Z14" s="203">
        <v>87.2929032258065</v>
      </c>
      <c r="AA14" s="203"/>
      <c r="AB14" s="203">
        <f t="shared" si="0"/>
        <v>99.9586117187962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42979</v>
      </c>
      <c r="C15" s="228" t="s">
        <v>177</v>
      </c>
      <c r="D15" s="259"/>
      <c r="E15" s="259"/>
      <c r="F15" s="259">
        <v>72.3417557047789</v>
      </c>
      <c r="G15" s="259"/>
      <c r="H15" s="259">
        <v>7.49765557032724</v>
      </c>
      <c r="I15" s="259">
        <v>20.1206675127955</v>
      </c>
      <c r="J15" s="259">
        <v>0</v>
      </c>
      <c r="K15" s="259"/>
      <c r="L15" s="259"/>
      <c r="M15" s="259"/>
      <c r="N15" s="259"/>
      <c r="O15" s="259"/>
      <c r="P15" s="259"/>
      <c r="Q15" s="259"/>
      <c r="R15" s="259"/>
      <c r="S15" s="259"/>
      <c r="T15" s="259"/>
      <c r="U15" s="259">
        <v>0.039921212098387</v>
      </c>
      <c r="Z15" s="203">
        <v>88.5076666666667</v>
      </c>
      <c r="AA15" s="203"/>
      <c r="AB15" s="203">
        <f t="shared" si="0"/>
        <v>99.9600787879016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259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42644</v>
      </c>
      <c r="E28" s="686">
        <v>0.215</v>
      </c>
      <c r="F28" s="685">
        <v>0.205</v>
      </c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42675</v>
      </c>
      <c r="E29" s="686">
        <v>0.25</v>
      </c>
      <c r="F29" s="685">
        <v>0.235</v>
      </c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42705</v>
      </c>
      <c r="E30" s="686">
        <v>0.215</v>
      </c>
      <c r="F30" s="685">
        <v>0.215</v>
      </c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42736</v>
      </c>
      <c r="E31" s="686">
        <v>0.26</v>
      </c>
      <c r="F31" s="685">
        <v>0.246666666666667</v>
      </c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42767</v>
      </c>
      <c r="E32" s="686">
        <v>0.27</v>
      </c>
      <c r="F32" s="685">
        <v>0.29</v>
      </c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42795</v>
      </c>
      <c r="E33" s="686">
        <v>0.225</v>
      </c>
      <c r="F33" s="685">
        <v>0.21</v>
      </c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42826</v>
      </c>
      <c r="E34" s="686">
        <v>0.235</v>
      </c>
      <c r="F34" s="685">
        <v>0.25</v>
      </c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42856</v>
      </c>
      <c r="E35" s="686">
        <v>0.205</v>
      </c>
      <c r="F35" s="685">
        <v>0.18</v>
      </c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42887</v>
      </c>
      <c r="E36" s="686">
        <v>0.19</v>
      </c>
      <c r="F36" s="685">
        <v>0.195</v>
      </c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42917</v>
      </c>
      <c r="E37" s="686">
        <v>0.21</v>
      </c>
      <c r="F37" s="685">
        <v>0.21</v>
      </c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42948</v>
      </c>
      <c r="E38" s="686">
        <v>0.19</v>
      </c>
      <c r="F38" s="685">
        <v>0.21</v>
      </c>
      <c r="G38" s="199"/>
      <c r="H38" s="191"/>
      <c r="I38" s="191"/>
      <c r="J38" s="191"/>
      <c r="AC38" s="694"/>
    </row>
    <row r="39" spans="1:29">
      <c r="A39" s="673"/>
      <c r="D39" s="682">
        <f t="shared" si="1"/>
        <v>42979</v>
      </c>
      <c r="E39" s="686">
        <v>0.22</v>
      </c>
      <c r="F39" s="685">
        <v>0.19</v>
      </c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Oct</v>
      </c>
      <c r="D49" s="223">
        <v>855022</v>
      </c>
      <c r="E49" s="223">
        <v>1398400</v>
      </c>
      <c r="F49" s="225">
        <v>1787</v>
      </c>
      <c r="G49" s="225">
        <v>2749</v>
      </c>
      <c r="H49" s="225">
        <f>E49/J49/F49*100</f>
        <v>105.180184245838</v>
      </c>
      <c r="I49" s="225">
        <f>D49/J49/G49*100</f>
        <v>41.8051334405082</v>
      </c>
      <c r="J49">
        <v>744</v>
      </c>
    </row>
    <row r="50" spans="1:10">
      <c r="A50" s="673"/>
      <c r="B50" s="219"/>
      <c r="C50" s="219" t="str">
        <f t="shared" ref="C50:C60" si="2">C5</f>
        <v>Nov</v>
      </c>
      <c r="D50" s="251">
        <v>1029242</v>
      </c>
      <c r="E50" s="251">
        <v>1470332</v>
      </c>
      <c r="F50" s="225">
        <v>1787</v>
      </c>
      <c r="G50" s="225">
        <v>2749</v>
      </c>
      <c r="H50" s="225">
        <f t="shared" ref="H50:H60" si="3">E50/J50/F50*100</f>
        <v>114.276876204688</v>
      </c>
      <c r="I50" s="225">
        <f t="shared" ref="I50:I60" si="4">D50/J50/G50*100</f>
        <v>52.0008285841316</v>
      </c>
      <c r="J50">
        <v>720</v>
      </c>
    </row>
    <row r="51" spans="1:10">
      <c r="A51" s="673"/>
      <c r="B51" s="219"/>
      <c r="C51" s="219" t="str">
        <f t="shared" si="2"/>
        <v>dec</v>
      </c>
      <c r="D51" s="251">
        <v>1113673</v>
      </c>
      <c r="E51" s="251">
        <v>1511909</v>
      </c>
      <c r="F51" s="225">
        <v>1787</v>
      </c>
      <c r="G51" s="225">
        <v>2749</v>
      </c>
      <c r="H51" s="225">
        <f t="shared" si="3"/>
        <v>113.717725388258</v>
      </c>
      <c r="I51" s="225">
        <f t="shared" si="4"/>
        <v>54.4515209831923</v>
      </c>
      <c r="J51">
        <v>744</v>
      </c>
    </row>
    <row r="52" spans="1:10">
      <c r="A52" s="673"/>
      <c r="B52" s="219"/>
      <c r="C52" s="219" t="str">
        <f t="shared" si="2"/>
        <v>Jan</v>
      </c>
      <c r="D52" s="251">
        <v>1164814</v>
      </c>
      <c r="E52" s="251">
        <v>1498661</v>
      </c>
      <c r="F52" s="225">
        <v>1787</v>
      </c>
      <c r="G52" s="225">
        <v>2749</v>
      </c>
      <c r="H52" s="225">
        <f t="shared" si="3"/>
        <v>112.721281537508</v>
      </c>
      <c r="I52" s="225">
        <f t="shared" si="4"/>
        <v>56.9519903620867</v>
      </c>
      <c r="J52">
        <v>744</v>
      </c>
    </row>
    <row r="53" spans="1:10">
      <c r="A53" s="673"/>
      <c r="B53" s="219"/>
      <c r="C53" s="219" t="str">
        <f t="shared" si="2"/>
        <v>Feb</v>
      </c>
      <c r="D53" s="251">
        <v>1071571</v>
      </c>
      <c r="E53" s="251">
        <v>1348651</v>
      </c>
      <c r="F53" s="225">
        <v>1787</v>
      </c>
      <c r="G53" s="225">
        <v>2749</v>
      </c>
      <c r="H53" s="225">
        <f t="shared" si="3"/>
        <v>112.306722493138</v>
      </c>
      <c r="I53" s="225">
        <f t="shared" si="4"/>
        <v>58.0065370091289</v>
      </c>
      <c r="J53">
        <v>672</v>
      </c>
    </row>
    <row r="54" spans="1:10">
      <c r="A54" s="673"/>
      <c r="B54" s="219"/>
      <c r="C54" s="219" t="str">
        <f t="shared" si="2"/>
        <v>mar</v>
      </c>
      <c r="D54" s="251">
        <v>971003</v>
      </c>
      <c r="E54" s="251">
        <v>1319820</v>
      </c>
      <c r="F54" s="225">
        <v>1787</v>
      </c>
      <c r="G54" s="225">
        <v>2749</v>
      </c>
      <c r="H54" s="225">
        <f t="shared" si="3"/>
        <v>99.269816055021</v>
      </c>
      <c r="I54" s="225">
        <f t="shared" si="4"/>
        <v>47.4758661018474</v>
      </c>
      <c r="J54">
        <v>744</v>
      </c>
    </row>
    <row r="55" spans="1:10">
      <c r="A55" s="673"/>
      <c r="B55" s="219"/>
      <c r="C55" s="219" t="str">
        <f t="shared" si="2"/>
        <v>apr</v>
      </c>
      <c r="D55" s="251">
        <v>991122</v>
      </c>
      <c r="E55" s="251">
        <v>1303193</v>
      </c>
      <c r="F55" s="225">
        <v>1787</v>
      </c>
      <c r="G55" s="225">
        <v>2749</v>
      </c>
      <c r="H55" s="225">
        <f t="shared" si="3"/>
        <v>101.286529254492</v>
      </c>
      <c r="I55" s="225">
        <f t="shared" si="4"/>
        <v>50.0748757123803</v>
      </c>
      <c r="J55">
        <v>720</v>
      </c>
    </row>
    <row r="56" spans="1:10">
      <c r="A56" s="673"/>
      <c r="B56" s="219"/>
      <c r="C56" s="219" t="str">
        <f t="shared" si="2"/>
        <v>May</v>
      </c>
      <c r="D56" s="251">
        <v>1014846</v>
      </c>
      <c r="E56" s="251">
        <v>1270201</v>
      </c>
      <c r="F56" s="225">
        <v>1787</v>
      </c>
      <c r="G56" s="225">
        <v>2749</v>
      </c>
      <c r="H56" s="225">
        <f t="shared" si="3"/>
        <v>95.5377397091299</v>
      </c>
      <c r="I56" s="225">
        <f t="shared" si="4"/>
        <v>49.6195097337448</v>
      </c>
      <c r="J56">
        <v>744</v>
      </c>
    </row>
    <row r="57" spans="1:10">
      <c r="A57" s="673"/>
      <c r="B57" s="219"/>
      <c r="C57" s="219" t="str">
        <f t="shared" si="2"/>
        <v>June</v>
      </c>
      <c r="D57" s="251">
        <v>757922</v>
      </c>
      <c r="E57" s="251">
        <v>1089582</v>
      </c>
      <c r="F57" s="225">
        <v>1787</v>
      </c>
      <c r="G57" s="225">
        <v>2749</v>
      </c>
      <c r="H57" s="225">
        <f t="shared" si="3"/>
        <v>84.6842939750047</v>
      </c>
      <c r="I57" s="225">
        <f t="shared" si="4"/>
        <v>38.292813548361</v>
      </c>
      <c r="J57">
        <v>720</v>
      </c>
    </row>
    <row r="58" spans="1:10">
      <c r="A58" s="673"/>
      <c r="B58" s="219"/>
      <c r="C58" s="219" t="str">
        <f t="shared" si="2"/>
        <v>July</v>
      </c>
      <c r="D58" s="251">
        <v>804835</v>
      </c>
      <c r="E58" s="251">
        <v>1100836</v>
      </c>
      <c r="F58" s="225">
        <v>1787</v>
      </c>
      <c r="G58" s="225">
        <v>2749</v>
      </c>
      <c r="H58" s="225">
        <f t="shared" si="3"/>
        <v>82.7990083698876</v>
      </c>
      <c r="I58" s="225">
        <f t="shared" si="4"/>
        <v>39.3513085892426</v>
      </c>
      <c r="J58">
        <v>744</v>
      </c>
    </row>
    <row r="59" spans="1:10">
      <c r="A59" s="673"/>
      <c r="B59" s="219"/>
      <c r="C59" s="219" t="str">
        <f t="shared" si="2"/>
        <v>Aug</v>
      </c>
      <c r="D59" s="251">
        <v>909017</v>
      </c>
      <c r="E59" s="251">
        <v>1160862</v>
      </c>
      <c r="F59" s="225">
        <v>1787</v>
      </c>
      <c r="G59" s="225">
        <v>2749</v>
      </c>
      <c r="H59" s="225">
        <f t="shared" si="3"/>
        <v>87.3138437099482</v>
      </c>
      <c r="I59" s="225">
        <f t="shared" si="4"/>
        <v>44.4451452532104</v>
      </c>
      <c r="J59">
        <v>744</v>
      </c>
    </row>
    <row r="60" spans="1:10">
      <c r="A60" s="673"/>
      <c r="B60" s="228"/>
      <c r="C60" s="224" t="str">
        <f t="shared" si="2"/>
        <v>Sep</v>
      </c>
      <c r="D60" s="252">
        <v>989969</v>
      </c>
      <c r="E60" s="252">
        <v>1263542</v>
      </c>
      <c r="F60" s="225">
        <v>1787</v>
      </c>
      <c r="G60" s="225">
        <v>2749</v>
      </c>
      <c r="H60" s="225">
        <f t="shared" si="3"/>
        <v>98.2047814462476</v>
      </c>
      <c r="I60" s="225">
        <f t="shared" si="4"/>
        <v>50.0166222060547</v>
      </c>
      <c r="J60">
        <v>720</v>
      </c>
    </row>
    <row r="61" spans="1:12">
      <c r="A61" s="673"/>
      <c r="D61" s="684">
        <f>SUM(D49:D60)/8760</f>
        <v>1332.53835616438</v>
      </c>
      <c r="E61" s="684">
        <f>SUM(E49:E60)/8760</f>
        <v>1796.34577625571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399975585192419"/>
  </sheetPr>
  <dimension ref="A1:O83"/>
  <sheetViews>
    <sheetView zoomScale="110" zoomScaleNormal="110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304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2770</v>
      </c>
      <c r="G3" s="22"/>
      <c r="H3" s="23" t="s">
        <v>187</v>
      </c>
      <c r="I3" s="5" t="s">
        <v>188</v>
      </c>
      <c r="J3" s="35">
        <v>15508508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1787</v>
      </c>
      <c r="G4" s="217"/>
      <c r="H4" s="25" t="s">
        <v>187</v>
      </c>
      <c r="I4" s="7" t="s">
        <v>191</v>
      </c>
      <c r="J4" s="37">
        <v>7812877.62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85.2638585810752</v>
      </c>
      <c r="H6" s="27" t="s">
        <v>195</v>
      </c>
      <c r="I6" s="1"/>
      <c r="J6" s="40">
        <v>3193507.04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13.73042578672</v>
      </c>
      <c r="H7" s="27" t="s">
        <v>195</v>
      </c>
      <c r="I7" s="1"/>
      <c r="J7" s="40">
        <v>514264.92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1.00571563220479</v>
      </c>
      <c r="H8" s="27" t="s">
        <v>195</v>
      </c>
      <c r="I8" s="1"/>
      <c r="J8" s="40">
        <v>37668.48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3745440.44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323</v>
      </c>
      <c r="D11" s="1"/>
      <c r="E11" s="1"/>
      <c r="F11" s="1"/>
      <c r="G11" s="26">
        <v>37.9097685380029</v>
      </c>
      <c r="H11" s="27" t="s">
        <v>195</v>
      </c>
      <c r="I11" s="1"/>
      <c r="J11" s="40">
        <v>1161090.72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3.22713932490668</v>
      </c>
      <c r="H16" s="27" t="s">
        <v>195</v>
      </c>
      <c r="I16" s="1"/>
      <c r="J16" s="40">
        <v>98840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16.6356609558936</v>
      </c>
      <c r="H17" s="27" t="s">
        <v>195</v>
      </c>
      <c r="I17" s="1"/>
      <c r="J17" s="40">
        <v>509512.78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20.9842756003887</v>
      </c>
      <c r="H18" s="27" t="s">
        <v>195</v>
      </c>
      <c r="I18" s="1"/>
      <c r="J18" s="40">
        <v>642701.04</v>
      </c>
      <c r="K18" s="41" t="s">
        <v>196</v>
      </c>
      <c r="L18" s="1"/>
    </row>
    <row r="19" ht="21.75" customHeight="1" spans="1:12">
      <c r="A19" s="1"/>
      <c r="B19" s="11"/>
      <c r="C19" s="1" t="s">
        <v>324</v>
      </c>
      <c r="D19" s="1"/>
      <c r="E19" s="1"/>
      <c r="F19" s="1"/>
      <c r="G19" s="26">
        <v>21.243155580808</v>
      </c>
      <c r="H19" s="27" t="s">
        <v>195</v>
      </c>
      <c r="I19" s="1"/>
      <c r="J19" s="40">
        <v>650629.95</v>
      </c>
      <c r="K19" s="41" t="s">
        <v>196</v>
      </c>
      <c r="L19" s="1"/>
    </row>
    <row r="20" ht="21.75" customHeight="1" spans="1:13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  <c r="M20" t="s">
        <v>77</v>
      </c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217250.66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4750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84044.74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41782.84</v>
      </c>
      <c r="K25" s="44" t="s">
        <v>196</v>
      </c>
      <c r="L25" s="15"/>
    </row>
    <row r="26" ht="21.75" customHeight="1" spans="1:15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124375.99</v>
      </c>
      <c r="K26" s="44" t="s">
        <v>196</v>
      </c>
      <c r="L26" s="15"/>
      <c r="O26" t="s">
        <v>77</v>
      </c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919.64</v>
      </c>
      <c r="K27" s="44" t="s">
        <v>196</v>
      </c>
      <c r="L27" s="15"/>
    </row>
    <row r="28" ht="21.75" customHeight="1" spans="1:14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16576.67</v>
      </c>
      <c r="K28" s="44" t="s">
        <v>196</v>
      </c>
      <c r="L28" s="15"/>
      <c r="N28" t="s">
        <v>77</v>
      </c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66830.98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3535.8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27186.53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3062774.49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24.1508753775669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19.7489951322203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4.40188024534662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682665.95</v>
      </c>
      <c r="K37" s="43" t="s">
        <v>196</v>
      </c>
      <c r="L37" s="12"/>
    </row>
    <row r="38" ht="21.75" customHeight="1" spans="1:12">
      <c r="A38" s="1"/>
      <c r="B38" s="1" t="s">
        <v>325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326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21.75" customHeight="1" spans="1:1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A1:T63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327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328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329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7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246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330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331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259</v>
      </c>
      <c r="E13" s="67" t="s">
        <v>178</v>
      </c>
      <c r="F13" s="67" t="s">
        <v>23</v>
      </c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>
        <v>1</v>
      </c>
      <c r="G14" s="68"/>
      <c r="H14" s="64"/>
      <c r="I14" s="57" t="s">
        <v>248</v>
      </c>
      <c r="J14" s="64"/>
      <c r="K14" s="878" t="s">
        <v>332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1060</v>
      </c>
      <c r="E15" s="69">
        <v>1060</v>
      </c>
      <c r="F15" s="69">
        <v>1300</v>
      </c>
      <c r="G15" s="69"/>
      <c r="H15" s="98">
        <f>D15+E15+F15</f>
        <v>3420</v>
      </c>
      <c r="I15" s="57" t="s">
        <v>249</v>
      </c>
      <c r="J15" s="64"/>
      <c r="K15" s="701">
        <v>58.7948784850927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900</v>
      </c>
      <c r="E16" s="69">
        <v>900</v>
      </c>
      <c r="F16" s="69">
        <v>1200</v>
      </c>
      <c r="G16" s="69"/>
      <c r="H16" s="98">
        <f>D16+E16+F16</f>
        <v>3000</v>
      </c>
      <c r="I16" s="56" t="s">
        <v>157</v>
      </c>
      <c r="J16" s="56"/>
      <c r="K16" s="701">
        <v>1.72287230278114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/>
      <c r="H17" s="98"/>
      <c r="I17" s="56" t="s">
        <v>58</v>
      </c>
      <c r="J17" s="56"/>
      <c r="K17" s="701">
        <v>6.2832795483694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 t="s">
        <v>117</v>
      </c>
      <c r="E18" s="71" t="s">
        <v>117</v>
      </c>
      <c r="F18" s="71" t="s">
        <v>117</v>
      </c>
      <c r="G18" s="71"/>
      <c r="H18" s="98" t="s">
        <v>117</v>
      </c>
      <c r="I18" s="56" t="s">
        <v>333</v>
      </c>
      <c r="J18" s="56"/>
      <c r="K18" s="701">
        <v>26.3963910246575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155</v>
      </c>
      <c r="J19" s="56"/>
      <c r="K19" s="701">
        <v>43.9792289954838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155</v>
      </c>
      <c r="J20" s="56"/>
      <c r="K20" s="701">
        <v>16.8615003305953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9.77</v>
      </c>
      <c r="E21" s="75">
        <v>9.498</v>
      </c>
      <c r="F21" s="75">
        <v>8.54</v>
      </c>
      <c r="G21" s="77"/>
      <c r="H21" s="102"/>
      <c r="I21" s="56" t="s">
        <v>64</v>
      </c>
      <c r="J21" s="56"/>
      <c r="K21" s="701">
        <v>0.983684598532171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76.2</v>
      </c>
      <c r="E22" s="75">
        <v>75.975</v>
      </c>
      <c r="F22" s="75">
        <v>73.28</v>
      </c>
      <c r="G22" s="77"/>
      <c r="H22" s="102"/>
      <c r="I22" s="56" t="s">
        <v>68</v>
      </c>
      <c r="J22" s="56"/>
      <c r="K22" s="701">
        <v>3.77304319958076</v>
      </c>
      <c r="L22" s="123" t="s">
        <v>59</v>
      </c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334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335</v>
      </c>
      <c r="I24" s="127" t="s">
        <v>80</v>
      </c>
      <c r="J24" s="56"/>
      <c r="K24" s="122">
        <v>21.9220228592188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77" t="s">
        <v>336</v>
      </c>
      <c r="I25" s="128" t="s">
        <v>83</v>
      </c>
      <c r="J25" s="56"/>
      <c r="K25" s="122">
        <v>91.2257303635365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337</v>
      </c>
      <c r="I26" s="57" t="s">
        <v>86</v>
      </c>
      <c r="J26" s="56"/>
      <c r="K26" s="122">
        <v>71.4302752761178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338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339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7.63</v>
      </c>
      <c r="E29" s="75">
        <v>7.64</v>
      </c>
      <c r="F29" s="75">
        <v>7.56</v>
      </c>
      <c r="G29" s="80"/>
      <c r="H29" s="78"/>
      <c r="I29" s="66" t="s">
        <v>26</v>
      </c>
      <c r="J29" s="64"/>
      <c r="K29" s="13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41</v>
      </c>
      <c r="E30" s="77">
        <v>41</v>
      </c>
      <c r="F30" s="77">
        <v>35</v>
      </c>
      <c r="G30" s="77"/>
      <c r="H30" s="78"/>
      <c r="I30" s="66" t="s">
        <v>96</v>
      </c>
      <c r="J30" s="92"/>
      <c r="K30" s="135">
        <v>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1.65</v>
      </c>
      <c r="E31" s="75">
        <v>1.61</v>
      </c>
      <c r="F31" s="75"/>
      <c r="G31" s="80"/>
      <c r="H31" s="78"/>
      <c r="I31" s="66" t="s">
        <v>99</v>
      </c>
      <c r="J31" s="92"/>
      <c r="K31" s="135">
        <v>8000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5.02</v>
      </c>
      <c r="E32" s="75">
        <v>4.9</v>
      </c>
      <c r="F32" s="75">
        <v>4.59</v>
      </c>
      <c r="G32" s="80"/>
      <c r="H32" s="78"/>
      <c r="I32" s="66" t="s">
        <v>66</v>
      </c>
      <c r="J32" s="92"/>
      <c r="K32" s="135">
        <v>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204</v>
      </c>
      <c r="E33" s="77">
        <v>239</v>
      </c>
      <c r="F33" s="80"/>
      <c r="G33" s="80"/>
      <c r="H33" s="78"/>
      <c r="I33" s="57" t="s">
        <v>103</v>
      </c>
      <c r="J33" s="64"/>
      <c r="K33" s="136">
        <v>6.9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0.17</v>
      </c>
      <c r="E34" s="80">
        <v>0.19</v>
      </c>
      <c r="F34" s="80"/>
      <c r="G34" s="80"/>
      <c r="H34" s="78"/>
      <c r="I34" s="66" t="s">
        <v>105</v>
      </c>
      <c r="J34" s="64"/>
      <c r="K34" s="137">
        <v>8.54146272363541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73.2774545915174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 t="s">
        <v>117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47.9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145">
        <v>45.7</v>
      </c>
    </row>
    <row r="42" ht="15" customHeight="1" spans="1:12">
      <c r="A42" s="157"/>
      <c r="B42" s="66" t="s">
        <v>118</v>
      </c>
      <c r="C42" s="64"/>
      <c r="D42" s="78" t="s">
        <v>301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705">
        <v>1.36</v>
      </c>
    </row>
    <row r="43" ht="15" customHeight="1" spans="1:12">
      <c r="A43" s="157"/>
      <c r="B43" s="66" t="s">
        <v>121</v>
      </c>
      <c r="C43" s="64" t="s">
        <v>122</v>
      </c>
      <c r="D43" s="77">
        <v>265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6</v>
      </c>
    </row>
    <row r="44" ht="15" customHeight="1" spans="1:17">
      <c r="A44" s="157"/>
      <c r="B44" s="66" t="s">
        <v>125</v>
      </c>
      <c r="C44" s="64" t="s">
        <v>122</v>
      </c>
      <c r="D44" s="77">
        <v>219</v>
      </c>
      <c r="E44" s="77"/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46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38</v>
      </c>
      <c r="E46" s="78"/>
      <c r="F46" s="78"/>
      <c r="G46" s="78"/>
      <c r="H46" s="102"/>
      <c r="I46" s="66"/>
      <c r="J46" s="64" t="s">
        <v>131</v>
      </c>
      <c r="K46" s="79">
        <v>125.196954491432</v>
      </c>
      <c r="L46" s="147">
        <v>59.9438099477418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0"/>
      <c r="G47" s="70"/>
      <c r="H47" s="70"/>
      <c r="I47" s="66"/>
      <c r="J47" s="64" t="s">
        <v>134</v>
      </c>
      <c r="K47" s="79">
        <v>649.54393994386</v>
      </c>
      <c r="L47" s="147">
        <v>310.999086574163</v>
      </c>
    </row>
    <row r="48" ht="15" customHeight="1" spans="1:13">
      <c r="A48" s="157"/>
      <c r="B48" s="66" t="s">
        <v>135</v>
      </c>
      <c r="C48" s="64" t="s">
        <v>240</v>
      </c>
      <c r="D48" s="69">
        <v>8189</v>
      </c>
      <c r="E48" s="69"/>
      <c r="F48" s="78"/>
      <c r="G48" s="78"/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2050942/D43</f>
        <v>7739.40377358491</v>
      </c>
      <c r="E49" s="69"/>
      <c r="F49" s="77"/>
      <c r="G49" s="69"/>
      <c r="H49" s="98"/>
      <c r="I49" s="66"/>
      <c r="J49" s="64" t="s">
        <v>139</v>
      </c>
      <c r="K49" s="150">
        <f>2010727/365</f>
        <v>5508.84109589041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f>D49/8760*100</f>
        <v>88.3493581459464</v>
      </c>
      <c r="E50" s="77"/>
      <c r="F50" s="77"/>
      <c r="G50" s="77"/>
      <c r="H50" s="77"/>
      <c r="I50" s="66"/>
      <c r="J50" s="64" t="s">
        <v>141</v>
      </c>
      <c r="K50" s="150">
        <f>K49/K15</f>
        <v>93.6959347111699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 t="s">
        <v>340</v>
      </c>
      <c r="J51" s="64"/>
      <c r="K51" s="143"/>
      <c r="L51" s="120"/>
      <c r="N51" s="179"/>
      <c r="R51" s="182"/>
    </row>
    <row r="52" ht="15" customHeight="1" spans="1:18">
      <c r="A52" s="157"/>
      <c r="B52" s="87"/>
      <c r="C52" s="64"/>
      <c r="D52" s="78"/>
      <c r="E52" s="78"/>
      <c r="F52" s="78"/>
      <c r="G52" s="78"/>
      <c r="H52" s="102"/>
      <c r="I52" s="66"/>
      <c r="J52" s="64" t="s">
        <v>139</v>
      </c>
      <c r="K52" s="150">
        <f>9182200/365</f>
        <v>25156.7123287671</v>
      </c>
      <c r="L52" s="120"/>
      <c r="N52" s="179"/>
      <c r="R52" s="182"/>
    </row>
    <row r="53" ht="15" customHeight="1" spans="1:14">
      <c r="A53" s="157"/>
      <c r="B53" s="84"/>
      <c r="C53" s="56"/>
      <c r="D53" s="78"/>
      <c r="E53" s="107"/>
      <c r="F53" s="78"/>
      <c r="G53" s="78"/>
      <c r="H53" s="102"/>
      <c r="I53" s="64"/>
      <c r="J53" s="64" t="s">
        <v>341</v>
      </c>
      <c r="K53" s="79">
        <f>1733932/8760</f>
        <v>197.937442922374</v>
      </c>
      <c r="L53" s="120"/>
      <c r="N53" s="179"/>
    </row>
    <row r="54" ht="15" customHeight="1" spans="1:14">
      <c r="A54" s="157"/>
      <c r="B54" s="88" t="s">
        <v>142</v>
      </c>
      <c r="C54" s="89"/>
      <c r="D54" s="89"/>
      <c r="E54" s="108"/>
      <c r="F54" s="99"/>
      <c r="G54" s="99"/>
      <c r="H54" s="109"/>
      <c r="I54" s="78"/>
      <c r="J54" s="78"/>
      <c r="K54" s="78"/>
      <c r="L54" s="114"/>
      <c r="N54" s="179"/>
    </row>
    <row r="55" ht="15" customHeight="1" spans="1:14">
      <c r="A55" s="157"/>
      <c r="B55" s="90" t="s">
        <v>143</v>
      </c>
      <c r="C55" s="78"/>
      <c r="D55" s="64"/>
      <c r="E55" s="64"/>
      <c r="F55" s="64"/>
      <c r="G55" s="110" t="s">
        <v>144</v>
      </c>
      <c r="H55" s="64"/>
      <c r="I55" s="83"/>
      <c r="J55" s="140"/>
      <c r="K55" s="140"/>
      <c r="L55" s="152"/>
      <c r="N55" s="156" t="s">
        <v>77</v>
      </c>
    </row>
    <row r="56" ht="15" customHeight="1" spans="1:18">
      <c r="A56" s="157"/>
      <c r="B56" s="66"/>
      <c r="C56" s="91" t="s">
        <v>145</v>
      </c>
      <c r="D56" s="92"/>
      <c r="E56" s="92"/>
      <c r="F56" s="64"/>
      <c r="G56" s="64"/>
      <c r="H56" s="64"/>
      <c r="I56" s="78" t="s">
        <v>145</v>
      </c>
      <c r="J56" s="64"/>
      <c r="K56" s="64"/>
      <c r="L56" s="114"/>
      <c r="R56" s="183"/>
    </row>
    <row r="57" ht="15" customHeight="1" spans="1:12">
      <c r="A57" s="157"/>
      <c r="B57" s="66" t="s">
        <v>146</v>
      </c>
      <c r="C57" s="93">
        <v>362290</v>
      </c>
      <c r="D57" s="69">
        <f>C57/(D49*D43+E49*E43+F49*F43+G49*G43+H49*H43)*100</f>
        <v>17.6645658434027</v>
      </c>
      <c r="E57" s="111" t="s">
        <v>147</v>
      </c>
      <c r="F57" s="64"/>
      <c r="G57" s="64" t="s">
        <v>148</v>
      </c>
      <c r="H57" s="64"/>
      <c r="I57" s="69" t="s">
        <v>117</v>
      </c>
      <c r="J57" s="69" t="s">
        <v>117</v>
      </c>
      <c r="K57" s="111" t="s">
        <v>149</v>
      </c>
      <c r="L57" s="114"/>
    </row>
    <row r="58" ht="15" customHeight="1" spans="1:12">
      <c r="A58" s="157"/>
      <c r="B58" s="66"/>
      <c r="C58" s="69"/>
      <c r="D58" s="69"/>
      <c r="E58" s="111"/>
      <c r="F58" s="64"/>
      <c r="G58" s="64"/>
      <c r="H58" s="64"/>
      <c r="I58" s="69"/>
      <c r="J58" s="69"/>
      <c r="K58" s="111"/>
      <c r="L58" s="114"/>
    </row>
    <row r="59" ht="15" customHeight="1" spans="1:12">
      <c r="A59" s="157"/>
      <c r="B59" s="81"/>
      <c r="C59" s="94"/>
      <c r="D59" s="89"/>
      <c r="E59" s="94"/>
      <c r="F59" s="94"/>
      <c r="G59" s="94"/>
      <c r="H59" s="94"/>
      <c r="I59" s="89"/>
      <c r="J59" s="89"/>
      <c r="K59" s="153"/>
      <c r="L59" s="115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ht="16.8" spans="1:8">
      <c r="A62" s="157"/>
      <c r="G62"/>
      <c r="H62"/>
    </row>
    <row r="63" ht="16.8" spans="7:8">
      <c r="G63"/>
      <c r="H63"/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K14 C5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A1:AJ66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158</v>
      </c>
      <c r="K2" t="s">
        <v>333</v>
      </c>
      <c r="L2" t="s">
        <v>159</v>
      </c>
      <c r="M2" t="s">
        <v>159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342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42644</v>
      </c>
      <c r="C4" s="219" t="s">
        <v>166</v>
      </c>
      <c r="D4" s="674">
        <v>19.2086112795634</v>
      </c>
      <c r="E4" s="674">
        <v>47.9583586011724</v>
      </c>
      <c r="F4" s="674">
        <v>26.6979987871437</v>
      </c>
      <c r="G4" s="674"/>
      <c r="H4" s="674">
        <v>0</v>
      </c>
      <c r="I4" s="674">
        <v>3.06751566606024</v>
      </c>
      <c r="J4" s="674"/>
      <c r="K4" s="674">
        <v>0</v>
      </c>
      <c r="L4" s="674"/>
      <c r="M4" s="674"/>
      <c r="N4" s="674"/>
      <c r="O4" s="674"/>
      <c r="P4" s="674"/>
      <c r="Q4" s="674"/>
      <c r="R4" s="674"/>
      <c r="S4" s="674">
        <v>3.06751566606024</v>
      </c>
      <c r="T4" s="674"/>
      <c r="U4" s="674"/>
      <c r="Y4" s="219"/>
      <c r="Z4" s="203">
        <v>63.8322580645161</v>
      </c>
      <c r="AA4" s="203"/>
      <c r="AB4" s="203">
        <f>SUM(D4:O4)</f>
        <v>96.9324843339398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42675</v>
      </c>
      <c r="C5" s="219" t="s">
        <v>167</v>
      </c>
      <c r="D5" s="203">
        <v>18.2852887990639</v>
      </c>
      <c r="E5" s="203">
        <v>46.9630890330816</v>
      </c>
      <c r="F5" s="203">
        <v>24.0825444101691</v>
      </c>
      <c r="G5" s="203"/>
      <c r="H5" s="203">
        <v>5.16966280182959</v>
      </c>
      <c r="I5" s="203">
        <v>2.47314115519626</v>
      </c>
      <c r="J5" s="203"/>
      <c r="K5" s="203">
        <v>0</v>
      </c>
      <c r="L5" s="203"/>
      <c r="M5" s="203"/>
      <c r="N5" s="203"/>
      <c r="O5" s="203"/>
      <c r="P5" s="203"/>
      <c r="Q5" s="203"/>
      <c r="R5" s="203"/>
      <c r="S5" s="203">
        <v>3.0262738006595</v>
      </c>
      <c r="T5" s="203"/>
      <c r="U5" s="203"/>
      <c r="Y5" s="219"/>
      <c r="Z5" s="203">
        <v>62.6733333333333</v>
      </c>
      <c r="AA5" s="203"/>
      <c r="AB5" s="203">
        <f t="shared" ref="AB5:AB15" si="0">SUM(D5:O5)</f>
        <v>96.9737261993405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42705</v>
      </c>
      <c r="C6" s="219" t="s">
        <v>168</v>
      </c>
      <c r="D6" s="203">
        <v>19.9069177067908</v>
      </c>
      <c r="E6" s="203">
        <v>41.5697059445737</v>
      </c>
      <c r="F6" s="203">
        <v>11.0482335519357</v>
      </c>
      <c r="G6" s="203"/>
      <c r="H6" s="203">
        <v>24.2913052676116</v>
      </c>
      <c r="I6" s="203">
        <v>1.59191876454411</v>
      </c>
      <c r="J6" s="203"/>
      <c r="K6" s="203">
        <v>0</v>
      </c>
      <c r="L6" s="203"/>
      <c r="M6" s="203"/>
      <c r="N6" s="203"/>
      <c r="O6" s="203"/>
      <c r="P6" s="203"/>
      <c r="Q6" s="203"/>
      <c r="R6" s="203"/>
      <c r="S6" s="203">
        <v>1.59191876454411</v>
      </c>
      <c r="T6" s="203"/>
      <c r="U6" s="203"/>
      <c r="Y6" s="219"/>
      <c r="Z6" s="203">
        <v>60.9935483870968</v>
      </c>
      <c r="AA6" s="203"/>
      <c r="AB6" s="203">
        <f t="shared" si="0"/>
        <v>98.4080812354559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42736</v>
      </c>
      <c r="C7" s="219" t="s">
        <v>169</v>
      </c>
      <c r="D7" s="203">
        <v>16.8289001093124</v>
      </c>
      <c r="E7" s="203">
        <v>44.4016448909479</v>
      </c>
      <c r="F7" s="203">
        <v>8.24527614387591</v>
      </c>
      <c r="G7" s="203"/>
      <c r="H7" s="203">
        <v>13.1799489875592</v>
      </c>
      <c r="I7" s="203">
        <v>1.58242673468325</v>
      </c>
      <c r="J7" s="203"/>
      <c r="K7" s="203">
        <v>14.1793763989381</v>
      </c>
      <c r="L7" s="203"/>
      <c r="M7" s="203"/>
      <c r="N7" s="203"/>
      <c r="O7" s="203"/>
      <c r="P7" s="203"/>
      <c r="Q7" s="203"/>
      <c r="R7" s="203"/>
      <c r="S7" s="203">
        <v>1.58242673468325</v>
      </c>
      <c r="T7" s="203"/>
      <c r="U7" s="203"/>
      <c r="Y7" s="219"/>
      <c r="Z7" s="203">
        <v>61.9709677419355</v>
      </c>
      <c r="AA7" s="203"/>
      <c r="AB7" s="203">
        <f t="shared" si="0"/>
        <v>98.4175732653167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42767</v>
      </c>
      <c r="C8" s="219" t="s">
        <v>170</v>
      </c>
      <c r="D8" s="203">
        <v>16.6103127641589</v>
      </c>
      <c r="E8" s="203">
        <v>45.1032483999517</v>
      </c>
      <c r="F8" s="203">
        <v>0</v>
      </c>
      <c r="G8" s="203"/>
      <c r="H8" s="203">
        <v>0</v>
      </c>
      <c r="I8" s="203">
        <v>1.67250332085497</v>
      </c>
      <c r="J8" s="203"/>
      <c r="K8" s="203">
        <v>34.9414321941794</v>
      </c>
      <c r="L8" s="203"/>
      <c r="M8" s="203"/>
      <c r="N8" s="203"/>
      <c r="O8" s="203"/>
      <c r="P8" s="203"/>
      <c r="Q8" s="203"/>
      <c r="R8" s="203"/>
      <c r="S8" s="203">
        <v>1.67250332085497</v>
      </c>
      <c r="T8" s="203"/>
      <c r="U8" s="203"/>
      <c r="Y8" s="219"/>
      <c r="Z8" s="203">
        <v>59.15</v>
      </c>
      <c r="AA8" s="203"/>
      <c r="AB8" s="203">
        <f t="shared" si="0"/>
        <v>98.327496679145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42795</v>
      </c>
      <c r="C9" s="219" t="s">
        <v>171</v>
      </c>
      <c r="D9" s="203">
        <v>15.7998886896296</v>
      </c>
      <c r="E9" s="203">
        <v>49.9659884979284</v>
      </c>
      <c r="F9" s="203">
        <v>0</v>
      </c>
      <c r="G9" s="203"/>
      <c r="H9" s="203">
        <v>0</v>
      </c>
      <c r="I9" s="203">
        <v>1.64491991837239</v>
      </c>
      <c r="J9" s="203"/>
      <c r="K9" s="203">
        <v>32.2614556922887</v>
      </c>
      <c r="L9" s="203"/>
      <c r="M9" s="203"/>
      <c r="N9" s="203"/>
      <c r="O9" s="203"/>
      <c r="P9" s="203"/>
      <c r="Q9" s="203"/>
      <c r="R9" s="203"/>
      <c r="S9" s="203">
        <v>0.327747201780966</v>
      </c>
      <c r="T9" s="203"/>
      <c r="U9" s="203"/>
      <c r="Y9" s="219"/>
      <c r="Z9" s="203">
        <v>52.1645161290323</v>
      </c>
      <c r="AA9" s="203"/>
      <c r="AB9" s="203">
        <f t="shared" si="0"/>
        <v>99.672252798219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42826</v>
      </c>
      <c r="C10" s="219" t="s">
        <v>172</v>
      </c>
      <c r="D10" s="203">
        <v>17.3887240356083</v>
      </c>
      <c r="E10" s="203">
        <v>39.1691394658754</v>
      </c>
      <c r="F10" s="203">
        <v>0</v>
      </c>
      <c r="G10" s="203"/>
      <c r="H10" s="203">
        <v>0</v>
      </c>
      <c r="I10" s="203">
        <v>1.73887240356083</v>
      </c>
      <c r="J10" s="203"/>
      <c r="K10" s="203">
        <v>41.7032640949555</v>
      </c>
      <c r="L10" s="203"/>
      <c r="M10" s="203"/>
      <c r="N10" s="203"/>
      <c r="O10" s="203"/>
      <c r="P10" s="203"/>
      <c r="Q10" s="203"/>
      <c r="R10" s="203"/>
      <c r="S10" s="203">
        <v>0</v>
      </c>
      <c r="T10" s="203"/>
      <c r="U10" s="203"/>
      <c r="Y10" s="219"/>
      <c r="Z10" s="203">
        <v>56.1666666666667</v>
      </c>
      <c r="AA10" s="203"/>
      <c r="AB10" s="203">
        <f t="shared" si="0"/>
        <v>100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42856</v>
      </c>
      <c r="C11" s="219" t="s">
        <v>173</v>
      </c>
      <c r="D11" s="203">
        <v>16.7156253530674</v>
      </c>
      <c r="E11" s="203">
        <v>41.4642413286634</v>
      </c>
      <c r="F11" s="203">
        <v>0</v>
      </c>
      <c r="G11" s="203"/>
      <c r="H11" s="203">
        <v>0</v>
      </c>
      <c r="I11" s="203">
        <v>1.67777652242684</v>
      </c>
      <c r="J11" s="203"/>
      <c r="K11" s="203">
        <v>40.1423567958423</v>
      </c>
      <c r="L11" s="203"/>
      <c r="M11" s="203"/>
      <c r="N11" s="203"/>
      <c r="O11" s="203"/>
      <c r="P11" s="203"/>
      <c r="Q11" s="203"/>
      <c r="R11" s="203"/>
      <c r="S11" s="203">
        <v>0</v>
      </c>
      <c r="T11" s="203"/>
      <c r="U11" s="203"/>
      <c r="Y11" s="219"/>
      <c r="Z11" s="203">
        <v>57.1032258064516</v>
      </c>
      <c r="AA11" s="203"/>
      <c r="AB11" s="203">
        <f t="shared" si="0"/>
        <v>100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42887</v>
      </c>
      <c r="C12" s="219" t="s">
        <v>174</v>
      </c>
      <c r="D12" s="203">
        <v>16.4427758549892</v>
      </c>
      <c r="E12" s="203">
        <v>42.4708159793512</v>
      </c>
      <c r="F12" s="203">
        <v>0</v>
      </c>
      <c r="G12" s="203"/>
      <c r="H12" s="203">
        <v>0</v>
      </c>
      <c r="I12" s="203">
        <v>1.64838387986156</v>
      </c>
      <c r="J12" s="203"/>
      <c r="K12" s="203">
        <v>39.4380242857981</v>
      </c>
      <c r="L12" s="203"/>
      <c r="M12" s="203"/>
      <c r="N12" s="203"/>
      <c r="O12" s="203"/>
      <c r="P12" s="203"/>
      <c r="Q12" s="203"/>
      <c r="R12" s="203"/>
      <c r="S12" s="203">
        <v>0</v>
      </c>
      <c r="T12" s="203"/>
      <c r="U12" s="203"/>
      <c r="Y12" s="219"/>
      <c r="Z12" s="203">
        <v>56.8233333333333</v>
      </c>
      <c r="AA12" s="203"/>
      <c r="AB12" s="203">
        <f t="shared" si="0"/>
        <v>100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42917</v>
      </c>
      <c r="C13" s="219" t="s">
        <v>175</v>
      </c>
      <c r="D13" s="203">
        <v>14.6951748049697</v>
      </c>
      <c r="E13" s="203">
        <v>44.2646633920832</v>
      </c>
      <c r="F13" s="203">
        <v>0</v>
      </c>
      <c r="G13" s="203"/>
      <c r="H13" s="203">
        <v>0</v>
      </c>
      <c r="I13" s="203">
        <v>1.60069344120196</v>
      </c>
      <c r="J13" s="203"/>
      <c r="K13" s="203">
        <v>39.4394683617452</v>
      </c>
      <c r="L13" s="203"/>
      <c r="M13" s="203"/>
      <c r="N13" s="203"/>
      <c r="O13" s="203"/>
      <c r="P13" s="203"/>
      <c r="Q13" s="203"/>
      <c r="R13" s="203"/>
      <c r="S13" s="203">
        <v>0</v>
      </c>
      <c r="T13" s="203"/>
      <c r="U13" s="203"/>
      <c r="Y13" s="219"/>
      <c r="Z13" s="203">
        <v>55.8225806451613</v>
      </c>
      <c r="AA13" s="203"/>
      <c r="AB13" s="203">
        <f t="shared" si="0"/>
        <v>100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42948</v>
      </c>
      <c r="C14" s="228" t="s">
        <v>176</v>
      </c>
      <c r="D14" s="203">
        <v>14.9370386452453</v>
      </c>
      <c r="E14" s="203">
        <v>41.9018671298307</v>
      </c>
      <c r="F14" s="203">
        <v>0</v>
      </c>
      <c r="G14" s="203"/>
      <c r="H14" s="203">
        <v>0</v>
      </c>
      <c r="I14" s="203">
        <v>1.67716022579244</v>
      </c>
      <c r="J14" s="203"/>
      <c r="K14" s="203">
        <v>41.4839339991316</v>
      </c>
      <c r="L14" s="203"/>
      <c r="M14" s="203"/>
      <c r="N14" s="203"/>
      <c r="O14" s="203"/>
      <c r="P14" s="203"/>
      <c r="Q14" s="203"/>
      <c r="R14" s="203"/>
      <c r="S14" s="203">
        <v>0</v>
      </c>
      <c r="T14" s="203"/>
      <c r="U14" s="203"/>
      <c r="Y14" s="219"/>
      <c r="Z14" s="203">
        <v>59.4322580645161</v>
      </c>
      <c r="AA14" s="203"/>
      <c r="AB14" s="203">
        <f t="shared" si="0"/>
        <v>100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42979</v>
      </c>
      <c r="C15" s="228" t="s">
        <v>177</v>
      </c>
      <c r="D15" s="259">
        <v>14.8951508650301</v>
      </c>
      <c r="E15" s="259">
        <v>42.397342070643</v>
      </c>
      <c r="F15" s="259">
        <v>0</v>
      </c>
      <c r="G15" s="259"/>
      <c r="H15" s="259">
        <v>0</v>
      </c>
      <c r="I15" s="259">
        <v>0.113881002615987</v>
      </c>
      <c r="J15" s="259"/>
      <c r="K15" s="259">
        <v>42.5936260617108</v>
      </c>
      <c r="L15" s="259"/>
      <c r="M15" s="259"/>
      <c r="N15" s="259"/>
      <c r="O15" s="259"/>
      <c r="P15" s="259"/>
      <c r="Q15" s="259"/>
      <c r="R15" s="259"/>
      <c r="S15" s="259">
        <v>0</v>
      </c>
      <c r="T15" s="259"/>
      <c r="U15" s="259"/>
      <c r="Z15" s="203">
        <v>59.4376882352941</v>
      </c>
      <c r="AA15" s="203"/>
      <c r="AB15" s="203">
        <f t="shared" si="0"/>
        <v>100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259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42644</v>
      </c>
      <c r="E28" s="686">
        <v>0.19</v>
      </c>
      <c r="F28" s="686">
        <v>0.175</v>
      </c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42675</v>
      </c>
      <c r="E29" s="686">
        <v>0.195</v>
      </c>
      <c r="F29" s="686">
        <v>0.19</v>
      </c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42705</v>
      </c>
      <c r="E30" s="686">
        <v>0.15</v>
      </c>
      <c r="F30" s="686">
        <v>0.175</v>
      </c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42736</v>
      </c>
      <c r="E31" s="686">
        <v>0.175</v>
      </c>
      <c r="F31" s="686">
        <v>0.17</v>
      </c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42767</v>
      </c>
      <c r="E32" s="686">
        <v>0.23</v>
      </c>
      <c r="F32" s="686">
        <v>0.22</v>
      </c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42795</v>
      </c>
      <c r="E33" s="686">
        <v>0.14</v>
      </c>
      <c r="F33" s="686">
        <v>0.13</v>
      </c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42826</v>
      </c>
      <c r="E34" s="686">
        <v>0.11</v>
      </c>
      <c r="F34" s="686">
        <v>0.215</v>
      </c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42856</v>
      </c>
      <c r="E35" s="686">
        <v>0.185</v>
      </c>
      <c r="F35" s="686">
        <v>0.276666666666667</v>
      </c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42887</v>
      </c>
      <c r="E36" s="686">
        <v>0.24</v>
      </c>
      <c r="F36" s="686">
        <v>0.24</v>
      </c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42917</v>
      </c>
      <c r="E37" s="686">
        <v>0.175</v>
      </c>
      <c r="F37" s="686">
        <v>0.12</v>
      </c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42948</v>
      </c>
      <c r="E38" s="686">
        <v>0.19</v>
      </c>
      <c r="F38" s="686">
        <v>0.205</v>
      </c>
      <c r="G38" s="199"/>
      <c r="H38" s="191"/>
      <c r="I38" s="191"/>
      <c r="J38" s="191"/>
      <c r="AC38" s="694"/>
    </row>
    <row r="39" spans="1:29">
      <c r="A39" s="673"/>
      <c r="D39" s="682">
        <f t="shared" si="1"/>
        <v>42979</v>
      </c>
      <c r="E39" s="686">
        <v>0.145</v>
      </c>
      <c r="F39" s="686">
        <v>0.24</v>
      </c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Oct</v>
      </c>
      <c r="D49" s="223">
        <v>0</v>
      </c>
      <c r="E49" s="223">
        <v>167175</v>
      </c>
      <c r="F49" s="225">
        <v>545.5</v>
      </c>
      <c r="G49" s="225">
        <v>219</v>
      </c>
      <c r="H49" s="225">
        <f>E49/J49/F49*100</f>
        <v>41.1911238579581</v>
      </c>
      <c r="I49" s="225">
        <f>D49/J49/G49*100</f>
        <v>0</v>
      </c>
      <c r="J49">
        <v>744</v>
      </c>
    </row>
    <row r="50" spans="1:10">
      <c r="A50" s="673"/>
      <c r="B50" s="219"/>
      <c r="C50" s="219" t="str">
        <f t="shared" ref="C50:C60" si="2">C5</f>
        <v>Nov</v>
      </c>
      <c r="D50" s="251">
        <v>0</v>
      </c>
      <c r="E50" s="251">
        <v>160394</v>
      </c>
      <c r="F50" s="225">
        <v>545.5</v>
      </c>
      <c r="G50" s="225">
        <v>219</v>
      </c>
      <c r="H50" s="225">
        <f t="shared" ref="H50:H60" si="3">E50/J50/F50*100</f>
        <v>40.8376616763418</v>
      </c>
      <c r="I50" s="225">
        <f t="shared" ref="I50:I60" si="4">D50/J50/G50*100</f>
        <v>0</v>
      </c>
      <c r="J50">
        <v>720</v>
      </c>
    </row>
    <row r="51" spans="1:10">
      <c r="A51" s="673"/>
      <c r="B51" s="219"/>
      <c r="C51" s="219" t="str">
        <f t="shared" si="2"/>
        <v>dec</v>
      </c>
      <c r="D51" s="251">
        <v>0</v>
      </c>
      <c r="E51" s="251">
        <v>174414</v>
      </c>
      <c r="F51" s="225">
        <v>545.5</v>
      </c>
      <c r="G51" s="225">
        <v>219</v>
      </c>
      <c r="H51" s="225">
        <f t="shared" si="3"/>
        <v>42.9747789834718</v>
      </c>
      <c r="I51" s="225">
        <f t="shared" si="4"/>
        <v>0</v>
      </c>
      <c r="J51">
        <v>744</v>
      </c>
    </row>
    <row r="52" spans="1:10">
      <c r="A52" s="673"/>
      <c r="B52" s="219"/>
      <c r="C52" s="219" t="str">
        <f t="shared" si="2"/>
        <v>Jan</v>
      </c>
      <c r="D52" s="251">
        <v>0</v>
      </c>
      <c r="E52" s="251">
        <v>165442</v>
      </c>
      <c r="F52" s="225">
        <v>545.5</v>
      </c>
      <c r="G52" s="225">
        <v>219</v>
      </c>
      <c r="H52" s="225">
        <f t="shared" si="3"/>
        <v>40.764120911071</v>
      </c>
      <c r="I52" s="225">
        <f t="shared" si="4"/>
        <v>0</v>
      </c>
      <c r="J52">
        <v>744</v>
      </c>
    </row>
    <row r="53" spans="1:10">
      <c r="A53" s="673"/>
      <c r="B53" s="219"/>
      <c r="C53" s="219" t="str">
        <f t="shared" si="2"/>
        <v>Feb</v>
      </c>
      <c r="D53" s="251">
        <v>0</v>
      </c>
      <c r="E53" s="251">
        <v>172384</v>
      </c>
      <c r="F53" s="225">
        <v>545.5</v>
      </c>
      <c r="G53" s="225">
        <v>219</v>
      </c>
      <c r="H53" s="225">
        <f t="shared" si="3"/>
        <v>47.0254462921741</v>
      </c>
      <c r="I53" s="225">
        <f t="shared" si="4"/>
        <v>0</v>
      </c>
      <c r="J53">
        <v>672</v>
      </c>
    </row>
    <row r="54" spans="1:10">
      <c r="A54" s="673"/>
      <c r="B54" s="219"/>
      <c r="C54" s="219" t="str">
        <f t="shared" si="2"/>
        <v>mar</v>
      </c>
      <c r="D54" s="251">
        <v>0</v>
      </c>
      <c r="E54" s="251">
        <v>164209</v>
      </c>
      <c r="F54" s="225">
        <v>545.5</v>
      </c>
      <c r="G54" s="225">
        <v>219</v>
      </c>
      <c r="H54" s="225">
        <f t="shared" si="3"/>
        <v>40.4603155830204</v>
      </c>
      <c r="I54" s="225">
        <f t="shared" si="4"/>
        <v>0</v>
      </c>
      <c r="J54">
        <v>744</v>
      </c>
    </row>
    <row r="55" spans="1:10">
      <c r="A55" s="673"/>
      <c r="B55" s="219"/>
      <c r="C55" s="219" t="str">
        <f t="shared" si="2"/>
        <v>apr</v>
      </c>
      <c r="D55" s="251">
        <v>0</v>
      </c>
      <c r="E55" s="251">
        <v>182429</v>
      </c>
      <c r="F55" s="225">
        <v>545.5</v>
      </c>
      <c r="G55" s="225">
        <v>219</v>
      </c>
      <c r="H55" s="225">
        <f t="shared" si="3"/>
        <v>46.4479580405337</v>
      </c>
      <c r="I55" s="225">
        <f t="shared" si="4"/>
        <v>0</v>
      </c>
      <c r="J55">
        <v>720</v>
      </c>
    </row>
    <row r="56" spans="1:10">
      <c r="A56" s="673"/>
      <c r="B56" s="219"/>
      <c r="C56" s="219" t="str">
        <f t="shared" si="2"/>
        <v>May</v>
      </c>
      <c r="D56" s="251">
        <v>0</v>
      </c>
      <c r="E56" s="251">
        <v>162187</v>
      </c>
      <c r="F56" s="225">
        <v>545.5</v>
      </c>
      <c r="G56" s="225">
        <v>219</v>
      </c>
      <c r="H56" s="225">
        <f t="shared" si="3"/>
        <v>39.9621044124459</v>
      </c>
      <c r="I56" s="225">
        <f t="shared" si="4"/>
        <v>0</v>
      </c>
      <c r="J56">
        <v>744</v>
      </c>
    </row>
    <row r="57" spans="1:10">
      <c r="A57" s="673"/>
      <c r="B57" s="219"/>
      <c r="C57" s="219" t="str">
        <f t="shared" si="2"/>
        <v>June</v>
      </c>
      <c r="D57" s="251">
        <v>0</v>
      </c>
      <c r="E57" s="251">
        <v>152443</v>
      </c>
      <c r="F57" s="225">
        <v>545.5</v>
      </c>
      <c r="G57" s="225">
        <v>219</v>
      </c>
      <c r="H57" s="225">
        <f t="shared" si="3"/>
        <v>38.8132701904471</v>
      </c>
      <c r="I57" s="225">
        <f t="shared" si="4"/>
        <v>0</v>
      </c>
      <c r="J57">
        <v>720</v>
      </c>
    </row>
    <row r="58" spans="1:10">
      <c r="A58" s="673"/>
      <c r="B58" s="219"/>
      <c r="C58" s="219" t="str">
        <f t="shared" si="2"/>
        <v>July</v>
      </c>
      <c r="D58" s="251">
        <v>0</v>
      </c>
      <c r="E58" s="251">
        <v>155474</v>
      </c>
      <c r="F58" s="225">
        <v>545.5</v>
      </c>
      <c r="G58" s="225">
        <v>219</v>
      </c>
      <c r="H58" s="225">
        <f t="shared" si="3"/>
        <v>38.3080531819481</v>
      </c>
      <c r="I58" s="225">
        <f t="shared" si="4"/>
        <v>0</v>
      </c>
      <c r="J58">
        <v>744</v>
      </c>
    </row>
    <row r="59" spans="1:10">
      <c r="A59" s="673"/>
      <c r="B59" s="219"/>
      <c r="C59" s="219" t="str">
        <f t="shared" si="2"/>
        <v>Aug</v>
      </c>
      <c r="D59" s="251">
        <v>0</v>
      </c>
      <c r="E59" s="251">
        <v>181526</v>
      </c>
      <c r="F59" s="225">
        <v>545.5</v>
      </c>
      <c r="G59" s="225">
        <v>219</v>
      </c>
      <c r="H59" s="225">
        <f t="shared" si="3"/>
        <v>44.7271419138011</v>
      </c>
      <c r="I59" s="225">
        <f t="shared" si="4"/>
        <v>0</v>
      </c>
      <c r="J59">
        <v>744</v>
      </c>
    </row>
    <row r="60" spans="1:10">
      <c r="A60" s="673"/>
      <c r="B60" s="228"/>
      <c r="C60" s="224" t="str">
        <f t="shared" si="2"/>
        <v>Sep</v>
      </c>
      <c r="D60" s="252">
        <v>0</v>
      </c>
      <c r="E60" s="252">
        <v>172650</v>
      </c>
      <c r="F60" s="225">
        <v>545.5</v>
      </c>
      <c r="G60" s="225">
        <v>219</v>
      </c>
      <c r="H60" s="225">
        <f t="shared" si="3"/>
        <v>43.9581423770241</v>
      </c>
      <c r="I60" s="225">
        <f t="shared" si="4"/>
        <v>0</v>
      </c>
      <c r="J60">
        <v>720</v>
      </c>
    </row>
    <row r="61" spans="1:12">
      <c r="A61" s="673"/>
      <c r="D61" s="251"/>
      <c r="E61" s="684">
        <f>SUM(E49:E60)/8760</f>
        <v>229.5350456621</v>
      </c>
      <c r="F61" s="687"/>
      <c r="G61" s="688"/>
      <c r="H61" s="689"/>
      <c r="I61" s="692"/>
      <c r="J61" s="845">
        <v>8760</v>
      </c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A1:M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32.163461538461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327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265</v>
      </c>
      <c r="G3" s="22"/>
      <c r="H3" s="23" t="s">
        <v>187</v>
      </c>
      <c r="I3" s="5" t="s">
        <v>343</v>
      </c>
      <c r="J3" s="35">
        <v>5352930</v>
      </c>
      <c r="K3" s="36" t="s">
        <v>189</v>
      </c>
      <c r="L3" s="1"/>
    </row>
    <row r="4" ht="21.75" customHeight="1" spans="1:12">
      <c r="A4" s="1"/>
      <c r="B4" s="6" t="s">
        <v>344</v>
      </c>
      <c r="C4" s="7"/>
      <c r="D4" s="7"/>
      <c r="E4" s="7"/>
      <c r="F4" s="216">
        <v>545</v>
      </c>
      <c r="G4" s="216"/>
      <c r="H4" s="25" t="s">
        <v>187</v>
      </c>
      <c r="I4" s="7" t="s">
        <v>191</v>
      </c>
      <c r="J4" s="37">
        <v>2251035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41.1070900573138</v>
      </c>
      <c r="H6" s="27" t="s">
        <v>195</v>
      </c>
      <c r="I6" s="1"/>
      <c r="J6" s="40">
        <v>513467.7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</row>
    <row r="8" ht="21.75" customHeight="1" spans="1:12">
      <c r="A8" s="1"/>
      <c r="B8" s="11"/>
      <c r="C8" s="1" t="s">
        <v>345</v>
      </c>
      <c r="D8" s="1"/>
      <c r="E8" s="1"/>
      <c r="F8" s="1"/>
      <c r="G8" s="26">
        <v>58.8929099426861</v>
      </c>
      <c r="H8" s="27" t="s">
        <v>195</v>
      </c>
      <c r="I8" s="1"/>
      <c r="J8" s="40">
        <v>735629.96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1249097.66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31.2412447294939</v>
      </c>
      <c r="H11" s="27" t="s">
        <v>195</v>
      </c>
      <c r="I11" s="1"/>
      <c r="J11" s="40">
        <v>327835.6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35</v>
      </c>
      <c r="F13" s="15" t="s">
        <v>204</v>
      </c>
      <c r="G13" s="31"/>
      <c r="H13" s="15"/>
      <c r="I13" s="15"/>
      <c r="J13" s="45">
        <v>220990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40</v>
      </c>
      <c r="F14" s="15" t="s">
        <v>204</v>
      </c>
      <c r="G14" s="31"/>
      <c r="H14" s="15"/>
      <c r="I14" s="15"/>
      <c r="J14" s="45">
        <v>17560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27.9057815845824</v>
      </c>
      <c r="F15" s="15" t="s">
        <v>204</v>
      </c>
      <c r="G15" s="31"/>
      <c r="H15" s="15"/>
      <c r="I15" s="15"/>
      <c r="J15" s="45">
        <v>65160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10.1553828708619</v>
      </c>
      <c r="H16" s="27" t="s">
        <v>195</v>
      </c>
      <c r="I16" s="1"/>
      <c r="J16" s="40">
        <v>106567.33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8.65387613526436</v>
      </c>
      <c r="H17" s="27" t="s">
        <v>195</v>
      </c>
      <c r="I17" s="1"/>
      <c r="J17" s="40">
        <v>90811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17.212481586058</v>
      </c>
      <c r="H18" s="27" t="s">
        <v>195</v>
      </c>
      <c r="I18" s="1"/>
      <c r="J18" s="40">
        <v>180622.26</v>
      </c>
      <c r="K18" s="41" t="s">
        <v>196</v>
      </c>
      <c r="L18" s="1"/>
    </row>
    <row r="19" ht="21.75" customHeight="1" spans="1:12">
      <c r="A19" s="1"/>
      <c r="B19" s="11"/>
      <c r="C19" s="1" t="s">
        <v>346</v>
      </c>
      <c r="D19" s="1"/>
      <c r="E19" s="1"/>
      <c r="F19" s="1"/>
      <c r="G19" s="26">
        <v>32.7370146783218</v>
      </c>
      <c r="H19" s="27" t="s">
        <v>195</v>
      </c>
      <c r="I19" s="1"/>
      <c r="J19" s="40">
        <v>343531.73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36046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74878.77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22896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38342.04</v>
      </c>
      <c r="K24" s="44" t="s">
        <v>196</v>
      </c>
      <c r="L24" s="15"/>
    </row>
    <row r="25" ht="21.75" customHeight="1" spans="1:13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6728</v>
      </c>
      <c r="K25" s="44" t="s">
        <v>196</v>
      </c>
      <c r="L25" s="15"/>
      <c r="M25" t="s">
        <v>77</v>
      </c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16711.97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552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8130.43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347</v>
      </c>
      <c r="E29" s="15"/>
      <c r="F29" s="15"/>
      <c r="G29" s="31"/>
      <c r="H29" s="15"/>
      <c r="I29" s="15"/>
      <c r="J29" s="45">
        <v>46103.86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15047.87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62693.48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1049367.92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23.3348401716443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19.6036174581024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3.73122271354193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199729.74</v>
      </c>
      <c r="K37" s="43" t="s">
        <v>196</v>
      </c>
      <c r="L37" s="12"/>
    </row>
    <row r="38" ht="21.75" customHeight="1" spans="1:12">
      <c r="A38" s="1"/>
      <c r="B38" s="19" t="s">
        <v>348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" t="s">
        <v>349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21.75" customHeight="1" spans="1:12">
      <c r="A40" s="19"/>
      <c r="B40" s="19" t="s">
        <v>350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 spans="1:12">
      <c r="A41" s="19"/>
      <c r="B41" s="19" t="s">
        <v>351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</row>
    <row r="42" ht="21.75" customHeight="1" spans="1:1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</row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399975585192419"/>
  </sheetPr>
  <dimension ref="A1:T65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352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353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354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279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246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263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355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/>
      <c r="G14" s="68"/>
      <c r="H14" s="64"/>
      <c r="I14" s="57" t="s">
        <v>248</v>
      </c>
      <c r="J14" s="64"/>
      <c r="K14" s="119">
        <v>11596.7274628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2080</v>
      </c>
      <c r="E15" s="69">
        <v>2080</v>
      </c>
      <c r="F15" s="69"/>
      <c r="G15" s="69"/>
      <c r="H15" s="98">
        <f>D15+E15+F15</f>
        <v>4160</v>
      </c>
      <c r="I15" s="57" t="s">
        <v>249</v>
      </c>
      <c r="J15" s="64"/>
      <c r="K15" s="701">
        <v>31.7718560624658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1800</v>
      </c>
      <c r="E16" s="69">
        <v>1800</v>
      </c>
      <c r="F16" s="69"/>
      <c r="G16" s="69"/>
      <c r="H16" s="98">
        <f>D16+E16+F16</f>
        <v>3600</v>
      </c>
      <c r="I16" s="56" t="s">
        <v>58</v>
      </c>
      <c r="J16" s="56"/>
      <c r="K16" s="701">
        <v>65.1263685123843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/>
      <c r="G17" s="70"/>
      <c r="H17" s="98"/>
      <c r="I17" s="56" t="s">
        <v>291</v>
      </c>
      <c r="J17" s="56"/>
      <c r="K17" s="701">
        <v>32.5453884477917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650</v>
      </c>
      <c r="E18" s="71">
        <v>650</v>
      </c>
      <c r="F18" s="71"/>
      <c r="G18" s="71"/>
      <c r="H18" s="98">
        <f>D18+E18+F18</f>
        <v>1300</v>
      </c>
      <c r="I18" s="56" t="s">
        <v>356</v>
      </c>
      <c r="J18" s="56"/>
      <c r="K18" s="701">
        <v>2.328243039824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/>
      <c r="J19" s="56"/>
      <c r="K19" s="702"/>
      <c r="L19" s="123"/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/>
      <c r="J20" s="56"/>
      <c r="K20" s="702"/>
      <c r="L20" s="123"/>
      <c r="M20" s="178"/>
    </row>
    <row r="21" ht="15" customHeight="1" spans="1:13">
      <c r="A21" s="157"/>
      <c r="B21" s="66" t="s">
        <v>71</v>
      </c>
      <c r="C21" s="64" t="s">
        <v>59</v>
      </c>
      <c r="D21" s="75">
        <v>9.1</v>
      </c>
      <c r="E21" s="75">
        <v>7.25</v>
      </c>
      <c r="F21" s="77"/>
      <c r="G21" s="77"/>
      <c r="H21" s="102"/>
      <c r="I21" s="56"/>
      <c r="J21" s="56"/>
      <c r="K21" s="702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78.28</v>
      </c>
      <c r="E22" s="75">
        <v>73.22</v>
      </c>
      <c r="F22" s="77"/>
      <c r="G22" s="77"/>
      <c r="H22" s="102"/>
      <c r="I22" s="56"/>
      <c r="J22" s="56"/>
      <c r="K22" s="702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357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358</v>
      </c>
      <c r="I24" s="127" t="s">
        <v>80</v>
      </c>
      <c r="J24" s="56"/>
      <c r="K24" s="122">
        <v>28.1559570301385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77" t="s">
        <v>359</v>
      </c>
      <c r="I25" s="128" t="s">
        <v>83</v>
      </c>
      <c r="J25" s="56"/>
      <c r="K25" s="122">
        <v>94.9064479145323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360</v>
      </c>
      <c r="I26" s="57" t="s">
        <v>86</v>
      </c>
      <c r="J26" s="56"/>
      <c r="K26" s="122">
        <v>80.3722033576909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237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294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7.72</v>
      </c>
      <c r="E29" s="75">
        <v>7.8</v>
      </c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40</v>
      </c>
      <c r="E30" s="77" t="s">
        <v>361</v>
      </c>
      <c r="F30" s="77"/>
      <c r="G30" s="77"/>
      <c r="H30" s="78"/>
      <c r="I30" s="66" t="s">
        <v>96</v>
      </c>
      <c r="J30" s="92"/>
      <c r="K30" s="135">
        <v>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2.28</v>
      </c>
      <c r="E31" s="75"/>
      <c r="F31" s="75"/>
      <c r="G31" s="80"/>
      <c r="H31" s="78"/>
      <c r="I31" s="66" t="s">
        <v>99</v>
      </c>
      <c r="J31" s="92"/>
      <c r="K31" s="135">
        <v>4500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5.46</v>
      </c>
      <c r="E32" s="75">
        <v>5.33</v>
      </c>
      <c r="F32" s="75"/>
      <c r="G32" s="80"/>
      <c r="H32" s="78"/>
      <c r="I32" s="66" t="s">
        <v>66</v>
      </c>
      <c r="J32" s="92"/>
      <c r="K32" s="135">
        <v>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163</v>
      </c>
      <c r="E33" s="77"/>
      <c r="F33" s="80"/>
      <c r="G33" s="80"/>
      <c r="H33" s="78"/>
      <c r="I33" s="57" t="s">
        <v>103</v>
      </c>
      <c r="J33" s="64"/>
      <c r="K33" s="136">
        <v>3.3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0.16</v>
      </c>
      <c r="E34" s="80"/>
      <c r="F34" s="80"/>
      <c r="G34" s="80"/>
      <c r="H34" s="78"/>
      <c r="I34" s="66" t="s">
        <v>105</v>
      </c>
      <c r="J34" s="64"/>
      <c r="K34" s="137">
        <v>7.25006416220188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73.2172328057954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46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52.4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145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146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252</v>
      </c>
      <c r="E43" s="77">
        <v>252</v>
      </c>
      <c r="F43" s="77"/>
      <c r="G43" s="78"/>
      <c r="H43" s="102"/>
      <c r="I43" s="66"/>
      <c r="J43" s="64" t="s">
        <v>123</v>
      </c>
      <c r="K43" s="144" t="s">
        <v>124</v>
      </c>
      <c r="L43" s="147" t="s">
        <v>117</v>
      </c>
    </row>
    <row r="44" ht="15" customHeight="1" spans="1:17">
      <c r="A44" s="157"/>
      <c r="B44" s="66" t="s">
        <v>125</v>
      </c>
      <c r="C44" s="64" t="s">
        <v>122</v>
      </c>
      <c r="D44" s="77">
        <v>291</v>
      </c>
      <c r="E44" s="77">
        <v>291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38.8</v>
      </c>
      <c r="E45" s="78">
        <v>38.8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44.8</v>
      </c>
      <c r="E46" s="78">
        <v>44.8</v>
      </c>
      <c r="F46" s="78"/>
      <c r="G46" s="78"/>
      <c r="H46" s="102"/>
      <c r="I46" s="66"/>
      <c r="J46" s="64" t="s">
        <v>131</v>
      </c>
      <c r="K46" s="79">
        <v>192.64167474542</v>
      </c>
      <c r="L46" s="147">
        <v>100.939791705437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0"/>
      <c r="G47" s="70"/>
      <c r="H47" s="70"/>
      <c r="I47" s="66"/>
      <c r="J47" s="64" t="s">
        <v>134</v>
      </c>
      <c r="K47" s="79">
        <v>745.639642169096</v>
      </c>
      <c r="L47" s="147">
        <v>390.697964328482</v>
      </c>
    </row>
    <row r="48" ht="15" customHeight="1" spans="1:13">
      <c r="A48" s="157"/>
      <c r="B48" s="66" t="s">
        <v>135</v>
      </c>
      <c r="C48" s="64" t="s">
        <v>240</v>
      </c>
      <c r="D48" s="877" t="s">
        <v>117</v>
      </c>
      <c r="E48" s="877" t="s">
        <v>117</v>
      </c>
      <c r="F48" s="78"/>
      <c r="G48" s="78"/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877" t="s">
        <v>362</v>
      </c>
      <c r="E49" s="69"/>
      <c r="F49" s="77"/>
      <c r="G49" s="69"/>
      <c r="H49" s="98"/>
      <c r="I49" s="66"/>
      <c r="J49" s="64" t="s">
        <v>139</v>
      </c>
      <c r="K49" s="150">
        <f>4107253/365</f>
        <v>11252.7479452055</v>
      </c>
      <c r="L49" s="231"/>
    </row>
    <row r="50" ht="15" customHeight="1" spans="1:20">
      <c r="A50" s="157"/>
      <c r="B50" s="57" t="s">
        <v>140</v>
      </c>
      <c r="C50" s="64" t="s">
        <v>59</v>
      </c>
      <c r="D50" s="877" t="s">
        <v>363</v>
      </c>
      <c r="E50" s="69"/>
      <c r="F50" s="77"/>
      <c r="G50" s="77"/>
      <c r="H50" s="77"/>
      <c r="I50" s="66"/>
      <c r="J50" s="64" t="s">
        <v>141</v>
      </c>
      <c r="K50" s="150">
        <f>K49/K15</f>
        <v>354.173452223936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255875</v>
      </c>
      <c r="D55" s="69">
        <f>255875/4107253*100</f>
        <v>6.2298329321325</v>
      </c>
      <c r="E55" s="111" t="s">
        <v>147</v>
      </c>
      <c r="F55" s="64"/>
      <c r="G55" s="64" t="s">
        <v>148</v>
      </c>
      <c r="H55" s="64"/>
      <c r="I55" s="69" t="s">
        <v>117</v>
      </c>
      <c r="J55" s="69" t="s">
        <v>117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364</v>
      </c>
      <c r="H56" s="64"/>
      <c r="I56" s="69">
        <v>322306</v>
      </c>
      <c r="J56" s="69">
        <f>I56/(8183*2*291)*100</f>
        <v>6.76757152641907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258</v>
      </c>
      <c r="H57" s="64"/>
      <c r="I57" s="69">
        <v>1189516</v>
      </c>
      <c r="J57" s="69">
        <f>I57/(8183*2*291)*100</f>
        <v>24.9766824440746</v>
      </c>
      <c r="K57" s="111" t="s">
        <v>149</v>
      </c>
      <c r="L57" s="114"/>
    </row>
    <row r="58" ht="15" customHeight="1" spans="1:12">
      <c r="A58" s="157"/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G61"/>
      <c r="H61"/>
    </row>
    <row r="62" ht="16.8" spans="6:8">
      <c r="F62" s="156" t="s">
        <v>77</v>
      </c>
      <c r="G62"/>
      <c r="H62"/>
    </row>
    <row r="65" spans="4:4">
      <c r="D65" s="156" t="s">
        <v>77</v>
      </c>
    </row>
  </sheetData>
  <mergeCells count="3">
    <mergeCell ref="B2:L2"/>
    <mergeCell ref="D49:E49"/>
    <mergeCell ref="D50:E50"/>
  </mergeCells>
  <pageMargins left="0.7" right="0.7" top="0.787401575" bottom="0.787401575" header="0.3" footer="0.3"/>
  <pageSetup paperSize="9" orientation="portrait"/>
  <headerFooter/>
  <ignoredErrors>
    <ignoredError sqref="D49:D50 C5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399975585192419"/>
  </sheetPr>
  <dimension ref="A1:AJ66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9" max="9" width="12.6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158</v>
      </c>
      <c r="K2" t="s">
        <v>291</v>
      </c>
      <c r="L2" t="s">
        <v>303</v>
      </c>
      <c r="M2" t="s">
        <v>293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365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42675</v>
      </c>
      <c r="C4" s="219" t="s">
        <v>167</v>
      </c>
      <c r="D4" s="674"/>
      <c r="E4" s="674"/>
      <c r="F4" s="674">
        <v>64.1663008287018</v>
      </c>
      <c r="G4" s="674"/>
      <c r="H4" s="674"/>
      <c r="I4" s="674"/>
      <c r="J4" s="674"/>
      <c r="K4" s="674">
        <v>29.7993967568219</v>
      </c>
      <c r="L4" s="674"/>
      <c r="M4" s="674"/>
      <c r="N4" s="674"/>
      <c r="O4" s="674"/>
      <c r="P4" s="674"/>
      <c r="Q4" s="674"/>
      <c r="R4" s="674"/>
      <c r="S4" s="674"/>
      <c r="T4" s="674"/>
      <c r="U4" s="674">
        <v>6.03430241447626</v>
      </c>
      <c r="Y4" s="219"/>
      <c r="Z4" s="203">
        <v>33.1438476666667</v>
      </c>
      <c r="AA4" s="203"/>
      <c r="AB4" s="203">
        <f>SUM(D4:O4)</f>
        <v>93.9656975855238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42705</v>
      </c>
      <c r="C5" s="219" t="s">
        <v>168</v>
      </c>
      <c r="D5" s="203"/>
      <c r="E5" s="203"/>
      <c r="F5" s="203">
        <v>66.4162673248686</v>
      </c>
      <c r="G5" s="203"/>
      <c r="H5" s="203"/>
      <c r="I5" s="203"/>
      <c r="J5" s="203"/>
      <c r="K5" s="203">
        <v>31.9225422707555</v>
      </c>
      <c r="L5" s="203"/>
      <c r="M5" s="203"/>
      <c r="N5" s="203"/>
      <c r="O5" s="203"/>
      <c r="P5" s="203"/>
      <c r="Q5" s="203"/>
      <c r="R5" s="203"/>
      <c r="S5" s="203"/>
      <c r="T5" s="203"/>
      <c r="U5" s="203">
        <v>1.66119040437583</v>
      </c>
      <c r="Y5" s="219"/>
      <c r="Z5" s="203">
        <v>34.9535585903226</v>
      </c>
      <c r="AA5" s="203"/>
      <c r="AB5" s="203">
        <f t="shared" ref="AB5:AB15" si="0">SUM(D5:O5)</f>
        <v>98.3388095956242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42736</v>
      </c>
      <c r="C6" s="219" t="s">
        <v>169</v>
      </c>
      <c r="D6" s="203"/>
      <c r="E6" s="203"/>
      <c r="F6" s="203">
        <v>66.100582994262</v>
      </c>
      <c r="G6" s="203"/>
      <c r="H6" s="203"/>
      <c r="I6" s="203"/>
      <c r="J6" s="203"/>
      <c r="K6" s="203">
        <v>33.899417005738</v>
      </c>
      <c r="L6" s="203"/>
      <c r="M6" s="203"/>
      <c r="N6" s="203"/>
      <c r="O6" s="203"/>
      <c r="P6" s="203"/>
      <c r="Q6" s="203"/>
      <c r="R6" s="203"/>
      <c r="S6" s="203"/>
      <c r="T6" s="203"/>
      <c r="U6" s="203">
        <v>0</v>
      </c>
      <c r="Y6" s="219"/>
      <c r="Z6" s="203">
        <v>29.3562951290323</v>
      </c>
      <c r="AA6" s="203"/>
      <c r="AB6" s="203">
        <f t="shared" si="0"/>
        <v>100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42767</v>
      </c>
      <c r="C7" s="219" t="s">
        <v>170</v>
      </c>
      <c r="D7" s="203"/>
      <c r="E7" s="203"/>
      <c r="F7" s="203">
        <v>64.7992595317957</v>
      </c>
      <c r="G7" s="203"/>
      <c r="H7" s="203"/>
      <c r="I7" s="203"/>
      <c r="J7" s="203"/>
      <c r="K7" s="203">
        <v>32.2127572746904</v>
      </c>
      <c r="L7" s="203"/>
      <c r="M7" s="203"/>
      <c r="N7" s="203"/>
      <c r="O7" s="203"/>
      <c r="P7" s="203"/>
      <c r="Q7" s="203"/>
      <c r="R7" s="203"/>
      <c r="S7" s="203"/>
      <c r="T7" s="203"/>
      <c r="U7" s="203">
        <v>2.98798319351392</v>
      </c>
      <c r="Y7" s="219"/>
      <c r="Z7" s="203">
        <v>31.0768625</v>
      </c>
      <c r="AA7" s="203"/>
      <c r="AB7" s="203">
        <f t="shared" si="0"/>
        <v>97.0120168064861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42795</v>
      </c>
      <c r="C8" s="219" t="s">
        <v>171</v>
      </c>
      <c r="D8" s="203"/>
      <c r="E8" s="203"/>
      <c r="F8" s="203">
        <v>64.9577665931213</v>
      </c>
      <c r="G8" s="203"/>
      <c r="H8" s="203"/>
      <c r="I8" s="203"/>
      <c r="J8" s="203"/>
      <c r="K8" s="203">
        <v>32.3836455207426</v>
      </c>
      <c r="L8" s="203"/>
      <c r="M8" s="203"/>
      <c r="N8" s="203"/>
      <c r="O8" s="203"/>
      <c r="P8" s="203"/>
      <c r="Q8" s="203"/>
      <c r="R8" s="203"/>
      <c r="S8" s="203"/>
      <c r="T8" s="203"/>
      <c r="U8" s="203">
        <v>2.65858788613612</v>
      </c>
      <c r="Y8" s="219"/>
      <c r="Z8" s="203">
        <v>31.5471864516129</v>
      </c>
      <c r="AA8" s="203"/>
      <c r="AB8" s="203">
        <f t="shared" si="0"/>
        <v>97.3414121138639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42826</v>
      </c>
      <c r="C9" s="219" t="s">
        <v>172</v>
      </c>
      <c r="D9" s="203"/>
      <c r="E9" s="203"/>
      <c r="F9" s="203">
        <v>65.7426610214359</v>
      </c>
      <c r="G9" s="203"/>
      <c r="H9" s="203"/>
      <c r="I9" s="203"/>
      <c r="J9" s="203"/>
      <c r="K9" s="203">
        <v>34.2573389785641</v>
      </c>
      <c r="L9" s="203"/>
      <c r="M9" s="203"/>
      <c r="N9" s="203"/>
      <c r="O9" s="203"/>
      <c r="P9" s="203"/>
      <c r="Q9" s="203"/>
      <c r="R9" s="203"/>
      <c r="S9" s="203"/>
      <c r="T9" s="203"/>
      <c r="U9" s="203">
        <v>0</v>
      </c>
      <c r="Y9" s="219"/>
      <c r="Z9" s="203">
        <v>30.981196</v>
      </c>
      <c r="AA9" s="203"/>
      <c r="AB9" s="203">
        <f t="shared" si="0"/>
        <v>100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42856</v>
      </c>
      <c r="C10" s="219" t="s">
        <v>173</v>
      </c>
      <c r="D10" s="203"/>
      <c r="E10" s="203"/>
      <c r="F10" s="203">
        <v>64.6677912555354</v>
      </c>
      <c r="G10" s="203"/>
      <c r="H10" s="203"/>
      <c r="I10" s="203"/>
      <c r="J10" s="203"/>
      <c r="K10" s="203">
        <v>32.4420485199686</v>
      </c>
      <c r="L10" s="203"/>
      <c r="M10" s="203"/>
      <c r="N10" s="203"/>
      <c r="O10" s="203"/>
      <c r="P10" s="203"/>
      <c r="Q10" s="203"/>
      <c r="R10" s="203"/>
      <c r="S10" s="203"/>
      <c r="T10" s="203"/>
      <c r="U10" s="203">
        <v>2.89016022449608</v>
      </c>
      <c r="Y10" s="219"/>
      <c r="Z10" s="203">
        <v>31.251755483871</v>
      </c>
      <c r="AA10" s="203"/>
      <c r="AB10" s="203">
        <f t="shared" si="0"/>
        <v>97.1098397755039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42887</v>
      </c>
      <c r="C11" s="219" t="s">
        <v>174</v>
      </c>
      <c r="D11" s="203"/>
      <c r="E11" s="203"/>
      <c r="F11" s="203">
        <v>62.4264414246222</v>
      </c>
      <c r="G11" s="203"/>
      <c r="H11" s="203"/>
      <c r="I11" s="203"/>
      <c r="J11" s="203"/>
      <c r="K11" s="203">
        <v>31.9460665180866</v>
      </c>
      <c r="L11" s="203"/>
      <c r="M11" s="203"/>
      <c r="N11" s="203"/>
      <c r="O11" s="203"/>
      <c r="P11" s="203"/>
      <c r="Q11" s="203"/>
      <c r="R11" s="203"/>
      <c r="S11" s="203"/>
      <c r="T11" s="203"/>
      <c r="U11" s="203">
        <v>5.62749205729113</v>
      </c>
      <c r="Y11" s="219"/>
      <c r="Z11" s="203">
        <v>33.1704895833333</v>
      </c>
      <c r="AA11" s="203"/>
      <c r="AB11" s="203">
        <f t="shared" si="0"/>
        <v>94.3725079427089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42917</v>
      </c>
      <c r="C12" s="219" t="s">
        <v>175</v>
      </c>
      <c r="D12" s="203"/>
      <c r="E12" s="203"/>
      <c r="F12" s="203">
        <v>61.8062262282148</v>
      </c>
      <c r="G12" s="203"/>
      <c r="H12" s="203"/>
      <c r="I12" s="203"/>
      <c r="J12" s="203"/>
      <c r="K12" s="203">
        <v>32.4224533961242</v>
      </c>
      <c r="L12" s="203"/>
      <c r="M12" s="203"/>
      <c r="N12" s="203"/>
      <c r="O12" s="203"/>
      <c r="P12" s="203"/>
      <c r="Q12" s="203"/>
      <c r="R12" s="203"/>
      <c r="S12" s="203"/>
      <c r="T12" s="203"/>
      <c r="U12" s="203">
        <v>5.77132037566101</v>
      </c>
      <c r="Y12" s="219"/>
      <c r="Z12" s="203">
        <v>31.3004909677419</v>
      </c>
      <c r="AA12" s="203"/>
      <c r="AB12" s="203">
        <f t="shared" si="0"/>
        <v>94.228679624339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42948</v>
      </c>
      <c r="C13" s="219" t="s">
        <v>176</v>
      </c>
      <c r="D13" s="203"/>
      <c r="E13" s="203"/>
      <c r="F13" s="203">
        <v>66.5481304933109</v>
      </c>
      <c r="G13" s="203"/>
      <c r="H13" s="203"/>
      <c r="I13" s="203"/>
      <c r="J13" s="203"/>
      <c r="K13" s="203">
        <v>33.4518695066891</v>
      </c>
      <c r="L13" s="203"/>
      <c r="M13" s="203"/>
      <c r="N13" s="203"/>
      <c r="O13" s="203"/>
      <c r="P13" s="203"/>
      <c r="Q13" s="203"/>
      <c r="R13" s="203"/>
      <c r="S13" s="203"/>
      <c r="T13" s="203"/>
      <c r="U13" s="203">
        <v>0</v>
      </c>
      <c r="Y13" s="219"/>
      <c r="Z13" s="203">
        <v>30.2408480645161</v>
      </c>
      <c r="AA13" s="203"/>
      <c r="AB13" s="203">
        <f t="shared" si="0"/>
        <v>100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42979</v>
      </c>
      <c r="C14" s="228" t="s">
        <v>177</v>
      </c>
      <c r="D14" s="203"/>
      <c r="E14" s="203"/>
      <c r="F14" s="203">
        <v>66.7764984985731</v>
      </c>
      <c r="G14" s="203"/>
      <c r="H14" s="203"/>
      <c r="I14" s="203"/>
      <c r="J14" s="203"/>
      <c r="K14" s="203">
        <v>33.2235015014269</v>
      </c>
      <c r="L14" s="203"/>
      <c r="M14" s="203"/>
      <c r="N14" s="203"/>
      <c r="O14" s="203"/>
      <c r="P14" s="203"/>
      <c r="Q14" s="203"/>
      <c r="R14" s="203"/>
      <c r="S14" s="203"/>
      <c r="T14" s="203"/>
      <c r="U14" s="203">
        <v>0</v>
      </c>
      <c r="Y14" s="219"/>
      <c r="Z14" s="203">
        <v>31.1125143333333</v>
      </c>
      <c r="AA14" s="203"/>
      <c r="AB14" s="203">
        <f t="shared" si="0"/>
        <v>100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43009</v>
      </c>
      <c r="C15" s="228" t="s">
        <v>166</v>
      </c>
      <c r="D15" s="259"/>
      <c r="E15" s="259"/>
      <c r="F15" s="259">
        <v>67.1012789757849</v>
      </c>
      <c r="G15" s="259"/>
      <c r="H15" s="259"/>
      <c r="I15" s="259"/>
      <c r="J15" s="259"/>
      <c r="K15" s="259">
        <v>32.8987210242151</v>
      </c>
      <c r="L15" s="259"/>
      <c r="M15" s="259"/>
      <c r="N15" s="259"/>
      <c r="O15" s="259"/>
      <c r="P15" s="259"/>
      <c r="Q15" s="259"/>
      <c r="R15" s="259"/>
      <c r="S15" s="259"/>
      <c r="T15" s="259"/>
      <c r="U15" s="259">
        <v>0</v>
      </c>
      <c r="Z15" s="203">
        <v>33.1025712903226</v>
      </c>
      <c r="AA15" s="203"/>
      <c r="AB15" s="203">
        <f t="shared" si="0"/>
        <v>100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22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42675</v>
      </c>
      <c r="E28" s="686">
        <v>0.125</v>
      </c>
      <c r="F28" s="251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42705</v>
      </c>
      <c r="E29" s="686">
        <v>0.19</v>
      </c>
      <c r="F29" s="251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42736</v>
      </c>
      <c r="E30" s="686">
        <v>0.16</v>
      </c>
      <c r="F30" s="251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42767</v>
      </c>
      <c r="E31" s="686">
        <v>0.16</v>
      </c>
      <c r="F31" s="251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42795</v>
      </c>
      <c r="E32" s="686">
        <v>0.15</v>
      </c>
      <c r="F32" s="251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42826</v>
      </c>
      <c r="E33" s="686">
        <v>0.14</v>
      </c>
      <c r="F33" s="251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42856</v>
      </c>
      <c r="E34" s="686">
        <v>0.23</v>
      </c>
      <c r="F34" s="251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42887</v>
      </c>
      <c r="E35" s="686">
        <v>0.15</v>
      </c>
      <c r="F35" s="251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42917</v>
      </c>
      <c r="E36" s="686">
        <v>0.17</v>
      </c>
      <c r="F36" s="251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42948</v>
      </c>
      <c r="E37" s="686">
        <v>0.13</v>
      </c>
      <c r="F37" s="251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42979</v>
      </c>
      <c r="E38" s="686">
        <v>0.175</v>
      </c>
      <c r="F38" s="251"/>
      <c r="G38" s="199"/>
      <c r="H38" s="191"/>
      <c r="I38" s="191"/>
      <c r="J38" s="191"/>
      <c r="AC38" s="694"/>
    </row>
    <row r="39" spans="1:29">
      <c r="A39" s="673"/>
      <c r="D39" s="682">
        <f t="shared" si="1"/>
        <v>43009</v>
      </c>
      <c r="E39" s="686">
        <v>0.11</v>
      </c>
      <c r="F39" s="251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Nov</v>
      </c>
      <c r="D49" s="223"/>
      <c r="E49" s="223">
        <v>348561</v>
      </c>
      <c r="F49" s="225">
        <v>479</v>
      </c>
      <c r="G49" s="225">
        <f>2*291</f>
        <v>582</v>
      </c>
      <c r="H49" s="225">
        <f>E49/J49/F49*100</f>
        <v>101.06732776618</v>
      </c>
      <c r="I49" s="225">
        <f>D49/J49/G49*100</f>
        <v>0</v>
      </c>
      <c r="J49">
        <v>720</v>
      </c>
    </row>
    <row r="50" spans="1:10">
      <c r="A50" s="673"/>
      <c r="B50" s="219"/>
      <c r="C50" s="219" t="str">
        <f t="shared" ref="C50:C60" si="2">C5</f>
        <v>dec</v>
      </c>
      <c r="D50" s="251"/>
      <c r="E50" s="251">
        <v>336092</v>
      </c>
      <c r="F50" s="199">
        <v>479</v>
      </c>
      <c r="G50" s="225">
        <f t="shared" ref="G50:G60" si="3">2*291</f>
        <v>582</v>
      </c>
      <c r="H50" s="225">
        <f t="shared" ref="H50:H60" si="4">E50/J50/F50*100</f>
        <v>94.3082586930658</v>
      </c>
      <c r="I50" s="225">
        <f t="shared" ref="I50:I60" si="5">D50/J50/G50*100</f>
        <v>0</v>
      </c>
      <c r="J50">
        <v>744</v>
      </c>
    </row>
    <row r="51" spans="1:10">
      <c r="A51" s="673"/>
      <c r="B51" s="219"/>
      <c r="C51" s="219" t="str">
        <f t="shared" si="2"/>
        <v>Jan</v>
      </c>
      <c r="D51" s="251"/>
      <c r="E51" s="251">
        <v>349171</v>
      </c>
      <c r="F51" s="199">
        <v>479</v>
      </c>
      <c r="G51" s="225">
        <f t="shared" si="3"/>
        <v>582</v>
      </c>
      <c r="H51" s="225">
        <f t="shared" si="4"/>
        <v>97.9782589175478</v>
      </c>
      <c r="I51" s="225">
        <f t="shared" si="5"/>
        <v>0</v>
      </c>
      <c r="J51">
        <v>744</v>
      </c>
    </row>
    <row r="52" spans="1:10">
      <c r="A52" s="673"/>
      <c r="B52" s="219"/>
      <c r="C52" s="219" t="str">
        <f t="shared" si="2"/>
        <v>Feb</v>
      </c>
      <c r="D52" s="251"/>
      <c r="E52" s="251">
        <v>320359</v>
      </c>
      <c r="F52" s="199">
        <v>479</v>
      </c>
      <c r="G52" s="225">
        <f t="shared" si="3"/>
        <v>582</v>
      </c>
      <c r="H52" s="225">
        <f t="shared" si="4"/>
        <v>99.524990058654</v>
      </c>
      <c r="I52" s="225">
        <f t="shared" si="5"/>
        <v>0</v>
      </c>
      <c r="J52">
        <v>672</v>
      </c>
    </row>
    <row r="53" spans="1:10">
      <c r="A53" s="673"/>
      <c r="B53" s="219"/>
      <c r="C53" s="219" t="str">
        <f t="shared" si="2"/>
        <v>mar</v>
      </c>
      <c r="D53" s="251"/>
      <c r="E53" s="251">
        <v>354823</v>
      </c>
      <c r="F53" s="199">
        <v>479</v>
      </c>
      <c r="G53" s="225">
        <f t="shared" si="3"/>
        <v>582</v>
      </c>
      <c r="H53" s="225">
        <f t="shared" si="4"/>
        <v>99.5642243024222</v>
      </c>
      <c r="I53" s="225">
        <f t="shared" si="5"/>
        <v>0</v>
      </c>
      <c r="J53">
        <v>744</v>
      </c>
    </row>
    <row r="54" spans="1:10">
      <c r="A54" s="673"/>
      <c r="B54" s="219"/>
      <c r="C54" s="219" t="str">
        <f t="shared" si="2"/>
        <v>apr</v>
      </c>
      <c r="D54" s="251"/>
      <c r="E54" s="251">
        <v>351772</v>
      </c>
      <c r="F54" s="199">
        <v>479</v>
      </c>
      <c r="G54" s="225">
        <f t="shared" si="3"/>
        <v>582</v>
      </c>
      <c r="H54" s="225">
        <f t="shared" si="4"/>
        <v>101.99837624681</v>
      </c>
      <c r="I54" s="225">
        <f t="shared" si="5"/>
        <v>0</v>
      </c>
      <c r="J54">
        <v>720</v>
      </c>
    </row>
    <row r="55" spans="1:10">
      <c r="A55" s="673"/>
      <c r="B55" s="219"/>
      <c r="C55" s="219" t="str">
        <f t="shared" si="2"/>
        <v>May</v>
      </c>
      <c r="D55" s="251"/>
      <c r="E55" s="251">
        <v>360892</v>
      </c>
      <c r="F55" s="199">
        <v>479</v>
      </c>
      <c r="G55" s="225">
        <f t="shared" si="3"/>
        <v>582</v>
      </c>
      <c r="H55" s="225">
        <f t="shared" si="4"/>
        <v>101.267200933845</v>
      </c>
      <c r="I55" s="225">
        <f t="shared" si="5"/>
        <v>0</v>
      </c>
      <c r="J55">
        <v>744</v>
      </c>
    </row>
    <row r="56" spans="1:10">
      <c r="A56" s="673"/>
      <c r="B56" s="219"/>
      <c r="C56" s="219" t="str">
        <f t="shared" si="2"/>
        <v>June</v>
      </c>
      <c r="D56" s="251"/>
      <c r="E56" s="251">
        <v>330117</v>
      </c>
      <c r="F56" s="199">
        <v>479</v>
      </c>
      <c r="G56" s="225">
        <f t="shared" si="3"/>
        <v>582</v>
      </c>
      <c r="H56" s="225">
        <f t="shared" si="4"/>
        <v>95.7193806541406</v>
      </c>
      <c r="I56" s="225">
        <f t="shared" si="5"/>
        <v>0</v>
      </c>
      <c r="J56">
        <v>720</v>
      </c>
    </row>
    <row r="57" spans="1:10">
      <c r="A57" s="673"/>
      <c r="B57" s="219"/>
      <c r="C57" s="219" t="str">
        <f t="shared" si="2"/>
        <v>July</v>
      </c>
      <c r="D57" s="251"/>
      <c r="E57" s="251">
        <v>349465</v>
      </c>
      <c r="F57" s="199">
        <v>479</v>
      </c>
      <c r="G57" s="225">
        <f t="shared" si="3"/>
        <v>582</v>
      </c>
      <c r="H57" s="225">
        <f t="shared" si="4"/>
        <v>98.0607560554022</v>
      </c>
      <c r="I57" s="225">
        <f t="shared" si="5"/>
        <v>0</v>
      </c>
      <c r="J57">
        <v>744</v>
      </c>
    </row>
    <row r="58" spans="1:10">
      <c r="A58" s="673"/>
      <c r="B58" s="219"/>
      <c r="C58" s="219" t="str">
        <f t="shared" si="2"/>
        <v>Aug</v>
      </c>
      <c r="D58" s="251"/>
      <c r="E58" s="251">
        <v>329424</v>
      </c>
      <c r="F58" s="199">
        <v>479</v>
      </c>
      <c r="G58" s="225">
        <f t="shared" si="3"/>
        <v>582</v>
      </c>
      <c r="H58" s="225">
        <f t="shared" si="4"/>
        <v>92.4372011583272</v>
      </c>
      <c r="I58" s="225">
        <f t="shared" si="5"/>
        <v>0</v>
      </c>
      <c r="J58">
        <v>744</v>
      </c>
    </row>
    <row r="59" spans="1:10">
      <c r="A59" s="673"/>
      <c r="B59" s="219"/>
      <c r="C59" s="219" t="str">
        <f t="shared" si="2"/>
        <v>Sep</v>
      </c>
      <c r="D59" s="251"/>
      <c r="E59" s="251">
        <v>337004</v>
      </c>
      <c r="F59" s="199">
        <v>479</v>
      </c>
      <c r="G59" s="225">
        <f t="shared" si="3"/>
        <v>582</v>
      </c>
      <c r="H59" s="225">
        <f t="shared" si="4"/>
        <v>97.7163071213176</v>
      </c>
      <c r="I59" s="225">
        <f t="shared" si="5"/>
        <v>0</v>
      </c>
      <c r="J59">
        <v>720</v>
      </c>
    </row>
    <row r="60" spans="1:10">
      <c r="A60" s="673"/>
      <c r="B60" s="228"/>
      <c r="C60" s="224" t="str">
        <f t="shared" si="2"/>
        <v>Oct</v>
      </c>
      <c r="D60" s="252"/>
      <c r="E60" s="252">
        <v>339573</v>
      </c>
      <c r="F60" s="199">
        <v>479</v>
      </c>
      <c r="G60" s="225">
        <f t="shared" si="3"/>
        <v>582</v>
      </c>
      <c r="H60" s="225">
        <f t="shared" si="4"/>
        <v>95.2850360293622</v>
      </c>
      <c r="I60" s="225">
        <f t="shared" si="5"/>
        <v>0</v>
      </c>
      <c r="J60">
        <v>744</v>
      </c>
    </row>
    <row r="61" spans="1:12">
      <c r="A61" s="673"/>
      <c r="D61" s="251"/>
      <c r="E61" s="684">
        <f>SUM(E49:E60)/8760</f>
        <v>468.864497716895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399975585192419"/>
  </sheetPr>
  <dimension ref="A1:N83"/>
  <sheetViews>
    <sheetView zoomScale="115" zoomScaleNormal="115" topLeftCell="A7" workbookViewId="0">
      <selection activeCell="J32" sqref="J32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352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504</v>
      </c>
      <c r="G3" s="22"/>
      <c r="H3" s="23" t="s">
        <v>187</v>
      </c>
      <c r="I3" s="5" t="s">
        <v>188</v>
      </c>
      <c r="J3" s="35">
        <v>4122357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478.8</v>
      </c>
      <c r="G4" s="217"/>
      <c r="H4" s="25" t="s">
        <v>187</v>
      </c>
      <c r="I4" s="7" t="s">
        <v>191</v>
      </c>
      <c r="J4" s="37">
        <v>3520949.06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90.9239551938111</v>
      </c>
      <c r="H6" s="27" t="s">
        <v>195</v>
      </c>
      <c r="I6" s="1"/>
      <c r="J6" s="40">
        <v>906324.93</v>
      </c>
      <c r="K6" s="41" t="s">
        <v>196</v>
      </c>
      <c r="L6" s="1"/>
    </row>
    <row r="7" ht="21.75" customHeight="1" spans="1:13">
      <c r="A7" s="1"/>
      <c r="B7" s="11"/>
      <c r="C7" s="1" t="s">
        <v>197</v>
      </c>
      <c r="D7" s="1"/>
      <c r="E7" s="1"/>
      <c r="F7" s="1"/>
      <c r="G7" s="26">
        <v>8.192788475024</v>
      </c>
      <c r="H7" s="27" t="s">
        <v>195</v>
      </c>
      <c r="I7" s="1"/>
      <c r="J7" s="40">
        <v>81665.26</v>
      </c>
      <c r="K7" s="41" t="s">
        <v>196</v>
      </c>
      <c r="L7" s="1"/>
      <c r="M7" t="s">
        <v>77</v>
      </c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0.883256331164929</v>
      </c>
      <c r="H8" s="27" t="s">
        <v>195</v>
      </c>
      <c r="I8" s="1"/>
      <c r="J8" s="40">
        <v>8804.25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996794.44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323</v>
      </c>
      <c r="D11" s="1"/>
      <c r="E11" s="1"/>
      <c r="F11" s="1"/>
      <c r="G11" s="26">
        <v>33.6292613398541</v>
      </c>
      <c r="H11" s="27" t="s">
        <v>195</v>
      </c>
      <c r="I11" s="1"/>
      <c r="J11" s="40">
        <v>281202.96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5.97953544654262</v>
      </c>
      <c r="H16" s="27" t="s">
        <v>195</v>
      </c>
      <c r="I16" s="1"/>
      <c r="J16" s="40">
        <v>50000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5.19610269187205</v>
      </c>
      <c r="H17" s="27" t="s">
        <v>195</v>
      </c>
      <c r="I17" s="1"/>
      <c r="J17" s="40">
        <v>43449.05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30.8302886336111</v>
      </c>
      <c r="H18" s="27" t="s">
        <v>195</v>
      </c>
      <c r="I18" s="1"/>
      <c r="J18" s="40">
        <v>257798.36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24.3648118881201</v>
      </c>
      <c r="H19" s="27" t="s">
        <v>195</v>
      </c>
      <c r="I19" s="1"/>
      <c r="J19" s="40">
        <v>203734.99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36650.48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4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4120.8</v>
      </c>
      <c r="K24" s="44" t="s">
        <v>196</v>
      </c>
      <c r="L24" s="15"/>
      <c r="N24" t="s">
        <v>77</v>
      </c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21468.37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1077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21875.24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76644.41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4290.31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37608.38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836185.36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24.180206614808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20.2841568549255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3.89604975988252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160609.08</v>
      </c>
      <c r="K37" s="43" t="s">
        <v>196</v>
      </c>
      <c r="L37" s="12"/>
    </row>
    <row r="38" ht="21.75" customHeight="1" spans="1:12">
      <c r="A38" s="1"/>
      <c r="B38" s="1" t="s">
        <v>325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49977111117893"/>
    <pageSetUpPr fitToPage="1"/>
  </sheetPr>
  <dimension ref="A1:T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366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213" t="s">
        <v>367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241">
        <v>39234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82" t="s">
        <v>368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213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280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370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283</v>
      </c>
      <c r="E13" s="67" t="s">
        <v>259</v>
      </c>
      <c r="F13" s="67" t="s">
        <v>178</v>
      </c>
      <c r="G13" s="67" t="s">
        <v>23</v>
      </c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>
        <v>1</v>
      </c>
      <c r="G14" s="78">
        <v>1</v>
      </c>
      <c r="H14" s="64"/>
      <c r="I14" s="57" t="s">
        <v>248</v>
      </c>
      <c r="J14" s="64"/>
      <c r="K14" s="92">
        <f>'[12]Tabellen für Auswertung'!J16</f>
        <v>19830.285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71">
        <v>260</v>
      </c>
      <c r="E15" s="69">
        <v>1570</v>
      </c>
      <c r="F15" s="69">
        <v>1570</v>
      </c>
      <c r="G15" s="69">
        <v>3742</v>
      </c>
      <c r="H15" s="98">
        <f>SUM(D15:G15)</f>
        <v>7142</v>
      </c>
      <c r="I15" s="57" t="s">
        <v>249</v>
      </c>
      <c r="J15" s="64"/>
      <c r="K15" s="168">
        <f>'[12]Tabellen für Auswertung'!J33</f>
        <v>54.3238026113671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71">
        <v>238</v>
      </c>
      <c r="E16" s="69">
        <v>1437</v>
      </c>
      <c r="F16" s="69">
        <v>1437</v>
      </c>
      <c r="G16" s="69">
        <v>3360</v>
      </c>
      <c r="H16" s="98">
        <f>SUM(D16:G16)</f>
        <v>6472</v>
      </c>
      <c r="I16" s="56" t="s">
        <v>155</v>
      </c>
      <c r="J16" s="56"/>
      <c r="K16" s="591">
        <f>'[12]Tabellen für Auswertung'!B50*100</f>
        <v>57.5180840819988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 t="s">
        <v>63</v>
      </c>
      <c r="H17" s="98"/>
      <c r="I17" s="56" t="s">
        <v>371</v>
      </c>
      <c r="J17" s="56"/>
      <c r="K17" s="591">
        <f>'[12]Tabellen für Auswertung'!F50*100</f>
        <v>28.4131720749349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0</v>
      </c>
      <c r="F18" s="71">
        <v>0</v>
      </c>
      <c r="G18" s="71">
        <v>970</v>
      </c>
      <c r="H18" s="98">
        <f>SUM(D18:G18)</f>
        <v>970</v>
      </c>
      <c r="I18" s="56" t="s">
        <v>155</v>
      </c>
      <c r="J18" s="56"/>
      <c r="K18" s="591">
        <f>'[12]Tabellen für Auswertung'!D50*100</f>
        <v>4.60154758239733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67</v>
      </c>
      <c r="J19" s="56"/>
      <c r="K19" s="591">
        <f>'[12]Tabellen für Auswertung'!G50*100</f>
        <v>4.25380674054861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372</v>
      </c>
      <c r="J20" s="56"/>
      <c r="K20" s="591">
        <f>'[12]Tabellen für Auswertung'!E50*100</f>
        <v>1.88033606173588</v>
      </c>
      <c r="L20" s="118" t="s">
        <v>59</v>
      </c>
      <c r="M20" s="178"/>
    </row>
    <row r="21" ht="15" customHeight="1" spans="1:15">
      <c r="A21" s="157"/>
      <c r="B21" s="66" t="s">
        <v>71</v>
      </c>
      <c r="C21" s="64" t="s">
        <v>59</v>
      </c>
      <c r="D21" s="78"/>
      <c r="E21" s="75">
        <f>[12]Auswertung!L182</f>
        <v>6.50253053888959</v>
      </c>
      <c r="F21" s="75">
        <f>[12]Auswertung!O182</f>
        <v>6.4648693236288</v>
      </c>
      <c r="G21" s="78"/>
      <c r="H21" s="102"/>
      <c r="I21" s="56" t="s">
        <v>373</v>
      </c>
      <c r="J21" s="56"/>
      <c r="K21" s="591">
        <f>'[12]Tabellen für Auswertung'!I50*100</f>
        <v>2.7609285494384</v>
      </c>
      <c r="L21" s="118" t="s">
        <v>59</v>
      </c>
      <c r="M21" s="178"/>
      <c r="O21" s="823"/>
    </row>
    <row r="22" ht="15" customHeight="1" spans="1:13">
      <c r="A22" s="157"/>
      <c r="B22" s="66" t="s">
        <v>73</v>
      </c>
      <c r="C22" s="64" t="s">
        <v>59</v>
      </c>
      <c r="D22" s="78"/>
      <c r="E22" s="75">
        <f>[12]Auswertung!N182</f>
        <v>72.1716773645822</v>
      </c>
      <c r="F22" s="75">
        <f>[12]Auswertung!Q182</f>
        <v>71.5991133495372</v>
      </c>
      <c r="G22" s="78" t="s">
        <v>77</v>
      </c>
      <c r="H22" s="102"/>
      <c r="I22" s="56"/>
      <c r="J22" s="56"/>
      <c r="K22" s="56"/>
      <c r="L22" s="118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8"/>
      <c r="F23" s="78"/>
      <c r="G23" s="78"/>
      <c r="H23" s="103" t="s">
        <v>272</v>
      </c>
      <c r="I23" s="534" t="s">
        <v>76</v>
      </c>
      <c r="J23" s="56"/>
      <c r="K23" s="56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8"/>
      <c r="F24" s="78" t="s">
        <v>77</v>
      </c>
      <c r="G24" s="78"/>
      <c r="H24" s="104" t="s">
        <v>374</v>
      </c>
      <c r="I24" s="55" t="s">
        <v>80</v>
      </c>
      <c r="J24" s="56"/>
      <c r="K24" s="591">
        <f>'[12]Tabellen für Auswertung'!J84</f>
        <v>17.9145115320929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8"/>
      <c r="E25" s="78"/>
      <c r="F25" s="78"/>
      <c r="G25" s="78"/>
      <c r="H25" s="174" t="s">
        <v>375</v>
      </c>
      <c r="I25" s="56" t="s">
        <v>83</v>
      </c>
      <c r="J25" s="56"/>
      <c r="K25" s="591">
        <f>'[12]Tabellen für Auswertung'!J101</f>
        <v>77.6859800538782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102" t="s">
        <v>376</v>
      </c>
      <c r="I26" s="56" t="s">
        <v>86</v>
      </c>
      <c r="J26" s="56"/>
      <c r="K26" s="591">
        <f>'[12]Tabellen für Auswertung'!J118</f>
        <v>50.6112539975194</v>
      </c>
      <c r="L26" s="118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78"/>
      <c r="G27" s="78"/>
      <c r="H27" s="103" t="s">
        <v>378</v>
      </c>
      <c r="I27" s="130"/>
      <c r="J27" s="130"/>
      <c r="K27" s="130"/>
      <c r="L27" s="167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78"/>
      <c r="G28" s="78"/>
      <c r="H28" s="103" t="s">
        <v>299</v>
      </c>
      <c r="I28" s="668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8"/>
      <c r="E29" s="75">
        <f>[12]Auswertung!N263</f>
        <v>7.8</v>
      </c>
      <c r="F29" s="75">
        <f>[12]Auswertung!Q263</f>
        <v>7.85</v>
      </c>
      <c r="G29" s="78"/>
      <c r="H29" s="78"/>
      <c r="I29" s="66" t="s">
        <v>379</v>
      </c>
      <c r="J29" s="64"/>
      <c r="K29" s="64">
        <v>1</v>
      </c>
      <c r="L29" s="114"/>
    </row>
    <row r="30" ht="15" customHeight="1" spans="1:12">
      <c r="A30" s="157"/>
      <c r="B30" s="66" t="s">
        <v>94</v>
      </c>
      <c r="C30" s="56" t="s">
        <v>95</v>
      </c>
      <c r="D30" s="78"/>
      <c r="E30" s="77">
        <f>'[12]02 BGA Pristäblich Betr.Tageb.'!E142</f>
        <v>42.4500481813767</v>
      </c>
      <c r="F30" s="77">
        <f>'[12]02 BGA Pristäblich Betr.Tageb.'!F142</f>
        <v>42.3660693198374</v>
      </c>
      <c r="G30" s="78"/>
      <c r="H30" s="78"/>
      <c r="I30" s="66" t="s">
        <v>96</v>
      </c>
      <c r="J30" s="92"/>
      <c r="K30" s="64">
        <v>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8"/>
      <c r="E31" s="75">
        <f>[12]Auswertung!L264/1000</f>
        <v>1.74727272727273</v>
      </c>
      <c r="F31" s="75">
        <f>[12]Auswertung!O264/1000</f>
        <v>1.68727272727273</v>
      </c>
      <c r="G31" s="78"/>
      <c r="H31" s="78"/>
      <c r="I31" s="66" t="s">
        <v>99</v>
      </c>
      <c r="J31" s="92"/>
      <c r="K31" s="64">
        <v>3000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8"/>
      <c r="E32" s="75">
        <f>[12]Auswertung!M264/1000</f>
        <v>4.29121212121212</v>
      </c>
      <c r="F32" s="75">
        <f>[12]Auswertung!P264/1000</f>
        <v>4.19409090909091</v>
      </c>
      <c r="G32" s="78"/>
      <c r="H32" s="78"/>
      <c r="I32" s="66" t="s">
        <v>66</v>
      </c>
      <c r="J32" s="92"/>
      <c r="K32" s="92">
        <v>0</v>
      </c>
      <c r="L32" s="114" t="s">
        <v>55</v>
      </c>
    </row>
    <row r="33" ht="15" customHeight="1" spans="1:12">
      <c r="A33" s="157"/>
      <c r="B33" s="66" t="s">
        <v>101</v>
      </c>
      <c r="C33" s="64" t="s">
        <v>102</v>
      </c>
      <c r="D33" s="78"/>
      <c r="E33" s="77">
        <v>157</v>
      </c>
      <c r="F33" s="77">
        <v>175</v>
      </c>
      <c r="G33" s="78"/>
      <c r="H33" s="78" t="s">
        <v>77</v>
      </c>
      <c r="I33" s="57" t="s">
        <v>103</v>
      </c>
      <c r="J33" s="64"/>
      <c r="K33" s="194">
        <v>1.5</v>
      </c>
      <c r="L33" s="114" t="s">
        <v>59</v>
      </c>
    </row>
    <row r="34" ht="15" customHeight="1" spans="1:13">
      <c r="A34" s="157"/>
      <c r="B34" s="66" t="s">
        <v>104</v>
      </c>
      <c r="C34" s="64" t="s">
        <v>62</v>
      </c>
      <c r="D34" s="78"/>
      <c r="E34" s="80">
        <f>[12]Auswertung!O220</f>
        <v>0.110091426936968</v>
      </c>
      <c r="F34" s="80">
        <f>[12]Auswertung!S220</f>
        <v>0.0991672463820829</v>
      </c>
      <c r="G34" s="78"/>
      <c r="H34" s="78"/>
      <c r="I34" s="66" t="s">
        <v>105</v>
      </c>
      <c r="J34" s="64"/>
      <c r="K34" s="194">
        <f>[12]Auswertung!L199</f>
        <v>5.58843858336115</v>
      </c>
      <c r="L34" s="114" t="s">
        <v>59</v>
      </c>
      <c r="M34" s="156" t="s">
        <v>380</v>
      </c>
    </row>
    <row r="35" ht="15" customHeight="1" spans="1:13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94">
        <f>[12]Auswertung!M199</f>
        <v>69.2599906530884</v>
      </c>
      <c r="L35" s="114" t="s">
        <v>59</v>
      </c>
      <c r="M35" s="156" t="s">
        <v>380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70"/>
      <c r="L36" s="167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110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33</v>
      </c>
      <c r="E39" s="64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f>AVERAGE('[12]Finales Datenblatt'!AJ5:AJ388)</f>
        <v>52.7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78" t="s">
        <v>116</v>
      </c>
      <c r="L41" s="879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78" t="s">
        <v>120</v>
      </c>
      <c r="L42" s="879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370</v>
      </c>
      <c r="E43" s="77">
        <v>192</v>
      </c>
      <c r="F43" s="77"/>
      <c r="G43" s="78"/>
      <c r="H43" s="102"/>
      <c r="I43" s="66"/>
      <c r="J43" s="64" t="s">
        <v>123</v>
      </c>
      <c r="K43" s="172" t="s">
        <v>124</v>
      </c>
      <c r="L43" s="174">
        <f>AVERAGE('[12]02 BGA Pristäblich Betr.Tageb.'!D71:O71)</f>
        <v>108.04345717353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466.56330749354</v>
      </c>
      <c r="E44" s="77">
        <f>E43/E45*E46</f>
        <v>117.693506493507</v>
      </c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f>'[12]Tabellen für Auswertung'!Q89</f>
        <v>38.7</v>
      </c>
      <c r="E45" s="78">
        <f>'[12]Tabellen für Auswertung'!R89</f>
        <v>38.5</v>
      </c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f>'[12]Tabellen für Auswertung'!T89</f>
        <v>48.8</v>
      </c>
      <c r="E46" s="78">
        <f>'[12]Tabellen für Auswertung'!U89</f>
        <v>23.6</v>
      </c>
      <c r="F46" s="78"/>
      <c r="G46" s="78"/>
      <c r="H46" s="102"/>
      <c r="I46" s="66"/>
      <c r="J46" s="64" t="s">
        <v>131</v>
      </c>
      <c r="K46" s="77">
        <f>[12]Auswertung!Q156/'[12]Tabellen für Auswertung'!J16</f>
        <v>119.529122672828</v>
      </c>
      <c r="L46" s="174">
        <f>K46*L40/100</f>
        <v>62.9918476485802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8"/>
      <c r="G47" s="78"/>
      <c r="H47" s="102"/>
      <c r="I47" s="66"/>
      <c r="J47" s="64" t="s">
        <v>134</v>
      </c>
      <c r="K47" s="77">
        <f>K46/(K24/100*K25/100)</f>
        <v>858.867386923549</v>
      </c>
      <c r="L47" s="174">
        <f>L46/(K24/100*K25/100)</f>
        <v>452.623112908711</v>
      </c>
    </row>
    <row r="48" ht="15" customHeight="1" spans="1:13">
      <c r="A48" s="157"/>
      <c r="B48" s="66" t="s">
        <v>135</v>
      </c>
      <c r="C48" s="64" t="s">
        <v>240</v>
      </c>
      <c r="D48" s="69">
        <f>'[12]02 BGA Pristäblich Betr.Tageb.'!O9-'[12]02 BGA Pristäblich Betr.Tageb.'!C9</f>
        <v>8171</v>
      </c>
      <c r="E48" s="69">
        <f>'[12]02 BGA Pristäblich Betr.Tageb.'!O37-'[12]02 BGA Pristäblich Betr.Tageb.'!C37</f>
        <v>8500</v>
      </c>
      <c r="F48" s="78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'[12]Tabellen für Auswertung'!N50/D43</f>
        <v>7960.81081081081</v>
      </c>
      <c r="E49" s="69" t="e">
        <f>'[12]Tabellen für Auswertung'!O50/'[13]BGA 09_Datenblatt'!E43</f>
        <v>#REF!</v>
      </c>
      <c r="F49" s="78"/>
      <c r="G49" s="69"/>
      <c r="H49" s="98"/>
      <c r="I49" s="66"/>
      <c r="J49" s="64" t="s">
        <v>139</v>
      </c>
      <c r="K49" s="69">
        <f>'[12]Tabellen für Auswertung'!Q50/365</f>
        <v>12263.397260274</v>
      </c>
      <c r="L49" s="98"/>
    </row>
    <row r="50" ht="15" customHeight="1" spans="1:20">
      <c r="A50" s="157"/>
      <c r="B50" s="57" t="s">
        <v>140</v>
      </c>
      <c r="C50" s="64" t="s">
        <v>59</v>
      </c>
      <c r="D50" s="189">
        <f>'[12]Tabellen für Auswertung'!N50/(D43*8760)*100</f>
        <v>90.8768357398494</v>
      </c>
      <c r="E50" s="189">
        <f>'[12]Tabellen für Auswertung'!O50/(E43*8760)*100</f>
        <v>91.0055175038052</v>
      </c>
      <c r="F50" s="78"/>
      <c r="G50" s="78"/>
      <c r="H50" s="102"/>
      <c r="I50" s="66"/>
      <c r="J50" s="64" t="s">
        <v>141</v>
      </c>
      <c r="K50" s="77">
        <f>K49/K15</f>
        <v>225.746296664952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f>'[12]Tabellen für Auswertung'!N84</f>
        <v>336301.15</v>
      </c>
      <c r="D55" s="540">
        <f>(C55/'[12]Tabellen für Auswertung'!Q50)*100</f>
        <v>7.51319552114099</v>
      </c>
      <c r="E55" s="111" t="s">
        <v>147</v>
      </c>
      <c r="F55" s="64"/>
      <c r="G55" s="64" t="s">
        <v>381</v>
      </c>
      <c r="H55" s="64"/>
      <c r="I55" s="69">
        <v>318667.3</v>
      </c>
      <c r="J55" s="594">
        <v>6.84940033184435</v>
      </c>
      <c r="K55" s="111" t="s">
        <v>149</v>
      </c>
      <c r="L55" s="114"/>
    </row>
    <row r="56" ht="15" customHeight="1" spans="1:12">
      <c r="A56" s="157"/>
      <c r="B56" s="66"/>
      <c r="C56" s="69"/>
      <c r="D56" s="92"/>
      <c r="E56" s="111"/>
      <c r="F56" s="64"/>
      <c r="G56" s="64" t="s">
        <v>274</v>
      </c>
      <c r="H56" s="64"/>
      <c r="I56" s="69">
        <v>337092.4</v>
      </c>
      <c r="J56" s="594">
        <v>7.24542742986873</v>
      </c>
      <c r="K56" s="111" t="s">
        <v>149</v>
      </c>
      <c r="L56" s="114"/>
    </row>
    <row r="57" ht="15" customHeight="1" spans="1:12">
      <c r="A57" s="157"/>
      <c r="B57" s="81"/>
      <c r="C57" s="94"/>
      <c r="D57" s="94"/>
      <c r="E57" s="94"/>
      <c r="F57" s="94"/>
      <c r="G57" s="94"/>
      <c r="H57" s="94"/>
      <c r="I57" s="89"/>
      <c r="J57" s="842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1">
    <mergeCell ref="B2:L2"/>
  </mergeCells>
  <pageMargins left="0.236220472440945" right="0.236220472440945" top="0.748031496062992" bottom="0.748031496062992" header="0.31496062992126" footer="0.31496062992126"/>
  <pageSetup paperSize="9" scale="45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49977111117893"/>
  </sheetPr>
  <dimension ref="A2:Y73"/>
  <sheetViews>
    <sheetView zoomScale="85" zoomScaleNormal="85" workbookViewId="0">
      <selection activeCell="A1" sqref="A1"/>
    </sheetView>
  </sheetViews>
  <sheetFormatPr defaultColWidth="11.5" defaultRowHeight="16.8"/>
  <cols>
    <col min="2" max="2" width="10.6634615384615" customWidth="1"/>
    <col min="3" max="3" width="12.5" customWidth="1"/>
    <col min="4" max="4" width="13.5" customWidth="1"/>
    <col min="5" max="5" width="12.5" customWidth="1"/>
    <col min="6" max="6" width="13.5" customWidth="1"/>
    <col min="7" max="7" width="12.5" customWidth="1"/>
    <col min="8" max="8" width="13.5" customWidth="1"/>
    <col min="9" max="9" width="10" customWidth="1"/>
    <col min="10" max="10" width="17.5" customWidth="1"/>
  </cols>
  <sheetData>
    <row r="2" spans="1:11">
      <c r="A2" t="s">
        <v>154</v>
      </c>
      <c r="B2" t="s">
        <v>382</v>
      </c>
      <c r="C2" t="s">
        <v>372</v>
      </c>
      <c r="D2" t="s">
        <v>67</v>
      </c>
      <c r="E2" t="s">
        <v>157</v>
      </c>
      <c r="F2" t="s">
        <v>58</v>
      </c>
      <c r="G2" t="s">
        <v>383</v>
      </c>
      <c r="H2" t="s">
        <v>155</v>
      </c>
      <c r="I2" t="s">
        <v>384</v>
      </c>
      <c r="J2" t="s">
        <v>385</v>
      </c>
      <c r="K2" t="s">
        <v>386</v>
      </c>
    </row>
    <row r="3" spans="1:25">
      <c r="A3" s="228">
        <f>[12]Auswertung!K3</f>
        <v>0</v>
      </c>
      <c r="B3" s="228" t="str">
        <f>[12]Auswertung!L3</f>
        <v>[%]</v>
      </c>
      <c r="C3" s="228" t="str">
        <f>[12]Auswertung!M3</f>
        <v>[%]</v>
      </c>
      <c r="D3" s="228" t="str">
        <f>[12]Auswertung!N3</f>
        <v>[%]</v>
      </c>
      <c r="E3" s="228" t="str">
        <f>[12]Auswertung!O3</f>
        <v>[%]</v>
      </c>
      <c r="F3" s="228" t="str">
        <f>[12]Auswertung!P3</f>
        <v>[%]</v>
      </c>
      <c r="G3" s="228" t="str">
        <f>[12]Auswertung!Q3</f>
        <v>[%]</v>
      </c>
      <c r="H3" s="228" t="str">
        <f>[12]Auswertung!R3</f>
        <v>[%]</v>
      </c>
      <c r="I3" s="228" t="str">
        <f>[12]Auswertung!U3</f>
        <v>[%]</v>
      </c>
      <c r="J3" s="228" t="str">
        <f>[12]Auswertung!S3</f>
        <v>[t/d]</v>
      </c>
      <c r="K3" s="228"/>
      <c r="X3" s="578" t="s">
        <v>387</v>
      </c>
      <c r="Y3" s="580"/>
    </row>
    <row r="4" spans="1:11">
      <c r="A4" s="245">
        <f>[12]Auswertung!K4</f>
        <v>42614</v>
      </c>
      <c r="B4" s="191">
        <f>[12]Auswertung!L4</f>
        <v>2.68736936398925</v>
      </c>
      <c r="C4" s="191">
        <f>[12]Auswertung!M4</f>
        <v>1.58256195879367</v>
      </c>
      <c r="D4" s="191">
        <f>[12]Auswertung!N4</f>
        <v>4.59540161242162</v>
      </c>
      <c r="E4" s="191">
        <f>[12]Auswertung!O4</f>
        <v>0</v>
      </c>
      <c r="F4" s="191">
        <f>[12]Auswertung!P4</f>
        <v>31.1024186324276</v>
      </c>
      <c r="G4" s="191">
        <f>[12]Auswertung!Q4</f>
        <v>4.47894893998208</v>
      </c>
      <c r="H4" s="191">
        <f>[12]Auswertung!R4</f>
        <v>55.4792475365781</v>
      </c>
      <c r="I4" s="203">
        <f>[12]Auswertung!U4</f>
        <v>0.0740519558077038</v>
      </c>
      <c r="J4" s="191">
        <f>[12]Auswertung!S4</f>
        <v>55.8166666666667</v>
      </c>
      <c r="K4" s="203">
        <f t="shared" ref="K4:K15" si="0">SUM(B4:I4)</f>
        <v>100</v>
      </c>
    </row>
    <row r="5" spans="1:11">
      <c r="A5" s="245">
        <f>[12]Auswertung!K5</f>
        <v>42644</v>
      </c>
      <c r="B5" s="191">
        <f>[12]Auswertung!L5</f>
        <v>2.80345095769502</v>
      </c>
      <c r="C5" s="191">
        <f>[12]Auswertung!M5</f>
        <v>2.0679218892245</v>
      </c>
      <c r="D5" s="191">
        <f>[12]Auswertung!N5</f>
        <v>0</v>
      </c>
      <c r="E5" s="191">
        <f>[12]Auswertung!O5</f>
        <v>0</v>
      </c>
      <c r="F5" s="191">
        <f>[12]Auswertung!P5</f>
        <v>33.8904061687979</v>
      </c>
      <c r="G5" s="191">
        <f>[12]Auswertung!Q5</f>
        <v>4.67241826282504</v>
      </c>
      <c r="H5" s="191">
        <f>[12]Auswertung!R5</f>
        <v>56.4910440292524</v>
      </c>
      <c r="I5" s="203">
        <f>[12]Auswertung!U5</f>
        <v>0.0747586922052006</v>
      </c>
      <c r="J5" s="191">
        <f>[12]Auswertung!S5</f>
        <v>53.5054838709677</v>
      </c>
      <c r="K5" s="203">
        <f t="shared" si="0"/>
        <v>100</v>
      </c>
    </row>
    <row r="6" spans="1:11">
      <c r="A6" s="245">
        <f>[12]Auswertung!K6</f>
        <v>42675</v>
      </c>
      <c r="B6" s="191">
        <f>[12]Auswertung!L6</f>
        <v>2.52194088570564</v>
      </c>
      <c r="C6" s="191">
        <f>[12]Auswertung!M6</f>
        <v>2.18568210094489</v>
      </c>
      <c r="D6" s="191">
        <f>[12]Auswertung!N6</f>
        <v>0</v>
      </c>
      <c r="E6" s="191">
        <f>[12]Auswertung!O6</f>
        <v>0.554266563547306</v>
      </c>
      <c r="F6" s="191">
        <f>[12]Auswertung!P6</f>
        <v>29.266283331652</v>
      </c>
      <c r="G6" s="191">
        <f>[12]Auswertung!Q6</f>
        <v>4.2032348095094</v>
      </c>
      <c r="H6" s="191">
        <f>[12]Auswertung!R6</f>
        <v>61.1990988264568</v>
      </c>
      <c r="I6" s="203">
        <f>[12]Auswertung!U6</f>
        <v>0.0694934821838887</v>
      </c>
      <c r="J6" s="191">
        <f>[12]Auswertung!S6</f>
        <v>59.478</v>
      </c>
      <c r="K6" s="203">
        <f t="shared" si="0"/>
        <v>100</v>
      </c>
    </row>
    <row r="7" spans="1:11">
      <c r="A7" s="245">
        <f>[12]Auswertung!K7</f>
        <v>42705</v>
      </c>
      <c r="B7" s="191">
        <f>[12]Auswertung!L7</f>
        <v>3.11432172751761</v>
      </c>
      <c r="C7" s="191">
        <f>[12]Auswertung!M7</f>
        <v>1.03140977642519</v>
      </c>
      <c r="D7" s="191">
        <f>[12]Auswertung!N7</f>
        <v>0</v>
      </c>
      <c r="E7" s="191">
        <f>[12]Auswertung!O7</f>
        <v>1.17031522293855</v>
      </c>
      <c r="F7" s="191">
        <f>[12]Auswertung!P7</f>
        <v>26.9230099484161</v>
      </c>
      <c r="G7" s="191">
        <f>[12]Auswertung!Q7</f>
        <v>5.19053621252935</v>
      </c>
      <c r="H7" s="191">
        <f>[12]Auswertung!R7</f>
        <v>62.4873585327727</v>
      </c>
      <c r="I7" s="203">
        <f>[12]Auswertung!U7</f>
        <v>0.0830485794004696</v>
      </c>
      <c r="J7" s="191">
        <f>[12]Auswertung!S7</f>
        <v>48.1645806451613</v>
      </c>
      <c r="K7" s="203">
        <f t="shared" si="0"/>
        <v>100</v>
      </c>
    </row>
    <row r="8" spans="1:11">
      <c r="A8" s="245">
        <f>[12]Auswertung!K8</f>
        <v>42736</v>
      </c>
      <c r="B8" s="191">
        <f>[12]Auswertung!L8</f>
        <v>2.73133849683576</v>
      </c>
      <c r="C8" s="191">
        <f>[12]Auswertung!M8</f>
        <v>2.03235079549499</v>
      </c>
      <c r="D8" s="191">
        <f>[12]Auswertung!N8</f>
        <v>0</v>
      </c>
      <c r="E8" s="191">
        <f>[12]Auswertung!O8</f>
        <v>0.0390023389655687</v>
      </c>
      <c r="F8" s="191">
        <f>[12]Auswertung!P8</f>
        <v>33.0085487958028</v>
      </c>
      <c r="G8" s="191">
        <f>[12]Auswertung!Q8</f>
        <v>4.5522308280596</v>
      </c>
      <c r="H8" s="191">
        <f>[12]Auswertung!R8</f>
        <v>57.5636930515923</v>
      </c>
      <c r="I8" s="203">
        <f>[12]Auswertung!U8</f>
        <v>0.0728356932489536</v>
      </c>
      <c r="J8" s="191">
        <f>[12]Auswertung!S8</f>
        <v>54.9181290322581</v>
      </c>
      <c r="K8" s="203">
        <f t="shared" si="0"/>
        <v>100</v>
      </c>
    </row>
    <row r="9" spans="1:11">
      <c r="A9" s="245">
        <f>[12]Auswertung!K9</f>
        <v>42767</v>
      </c>
      <c r="B9" s="191">
        <f>[12]Auswertung!L9</f>
        <v>2.87093113866597</v>
      </c>
      <c r="C9" s="191">
        <f>[12]Auswertung!M9</f>
        <v>2.01648734739634</v>
      </c>
      <c r="D9" s="191">
        <f>[12]Auswertung!N9</f>
        <v>0</v>
      </c>
      <c r="E9" s="191">
        <f>[12]Auswertung!O9</f>
        <v>0.880008749504423</v>
      </c>
      <c r="F9" s="191">
        <f>[12]Auswertung!P9</f>
        <v>30.2354163533706</v>
      </c>
      <c r="G9" s="191">
        <f>[12]Auswertung!Q9</f>
        <v>4.78488523110996</v>
      </c>
      <c r="H9" s="191">
        <f>[12]Auswertung!R9</f>
        <v>59.1275103558587</v>
      </c>
      <c r="I9" s="203">
        <f>[12]Auswertung!U9</f>
        <v>0.0847608240939478</v>
      </c>
      <c r="J9" s="191">
        <f>[12]Auswertung!S9</f>
        <v>52.2478571428571</v>
      </c>
      <c r="K9" s="203">
        <f t="shared" si="0"/>
        <v>100</v>
      </c>
    </row>
    <row r="10" spans="1:11">
      <c r="A10" s="245">
        <f>[12]Auswertung!K10</f>
        <v>42795</v>
      </c>
      <c r="B10" s="191">
        <f>[12]Auswertung!L10</f>
        <v>2.56187478547742</v>
      </c>
      <c r="C10" s="191">
        <f>[12]Auswertung!M10</f>
        <v>1.70791652365161</v>
      </c>
      <c r="D10" s="191">
        <f>[12]Auswertung!N10</f>
        <v>0</v>
      </c>
      <c r="E10" s="191">
        <f>[12]Auswertung!O10</f>
        <v>0.0639091344334152</v>
      </c>
      <c r="F10" s="191">
        <f>[12]Auswertung!P10</f>
        <v>28.9616914323745</v>
      </c>
      <c r="G10" s="191">
        <f>[12]Auswertung!Q10</f>
        <v>4.26979130912903</v>
      </c>
      <c r="H10" s="191">
        <f>[12]Auswertung!R10</f>
        <v>62.366500153988</v>
      </c>
      <c r="I10" s="203">
        <f>[12]Auswertung!U10</f>
        <v>0.0683166609460645</v>
      </c>
      <c r="J10" s="191">
        <f>[12]Auswertung!S10</f>
        <v>58.5508709677419</v>
      </c>
      <c r="K10" s="203">
        <f t="shared" si="0"/>
        <v>100</v>
      </c>
    </row>
    <row r="11" spans="1:11">
      <c r="A11" s="245">
        <f>[12]Auswertung!K11</f>
        <v>42826</v>
      </c>
      <c r="B11" s="191">
        <f>[12]Auswertung!L11</f>
        <v>2.71398571116678</v>
      </c>
      <c r="C11" s="191">
        <f>[12]Auswertung!M11</f>
        <v>1.11574968125746</v>
      </c>
      <c r="D11" s="191">
        <f>[12]Auswertung!N11</f>
        <v>0</v>
      </c>
      <c r="E11" s="191">
        <f>[12]Auswertung!O11</f>
        <v>1.07220528829162</v>
      </c>
      <c r="F11" s="191">
        <f>[12]Auswertung!P11</f>
        <v>30.9129003581255</v>
      </c>
      <c r="G11" s="191">
        <f>[12]Auswertung!Q11</f>
        <v>4.52330951861131</v>
      </c>
      <c r="H11" s="191">
        <f>[12]Auswertung!R11</f>
        <v>59.5870640585063</v>
      </c>
      <c r="I11" s="203">
        <f>[12]Auswertung!U11</f>
        <v>0.0747853840410403</v>
      </c>
      <c r="J11" s="191">
        <f>[12]Auswertung!S11</f>
        <v>55.2692666666667</v>
      </c>
      <c r="K11" s="203">
        <f t="shared" si="0"/>
        <v>100</v>
      </c>
    </row>
    <row r="12" spans="1:11">
      <c r="A12" s="245">
        <f>[12]Auswertung!K12</f>
        <v>42856</v>
      </c>
      <c r="B12" s="191">
        <f>[12]Auswertung!L12</f>
        <v>2.77689195919581</v>
      </c>
      <c r="C12" s="191">
        <f>[12]Auswertung!M12</f>
        <v>1.80945863147598</v>
      </c>
      <c r="D12" s="191">
        <f>[12]Auswertung!N12</f>
        <v>0</v>
      </c>
      <c r="E12" s="191">
        <f>[12]Auswertung!O12</f>
        <v>2.11449872024097</v>
      </c>
      <c r="F12" s="191">
        <f>[12]Auswertung!P12</f>
        <v>29.9537662418321</v>
      </c>
      <c r="G12" s="191">
        <f>[12]Auswertung!Q12</f>
        <v>4.62815326532635</v>
      </c>
      <c r="H12" s="191">
        <f>[12]Auswertung!R12</f>
        <v>58.6431807296836</v>
      </c>
      <c r="I12" s="203">
        <f>[12]Auswertung!U12</f>
        <v>0.0740504522452217</v>
      </c>
      <c r="J12" s="191">
        <f>[12]Auswertung!S12</f>
        <v>54.0172258064516</v>
      </c>
      <c r="K12" s="203">
        <f t="shared" si="0"/>
        <v>100</v>
      </c>
    </row>
    <row r="13" spans="1:11">
      <c r="A13" s="245">
        <f>[12]Auswertung!K13</f>
        <v>42887</v>
      </c>
      <c r="B13" s="191">
        <f>[12]Auswertung!L13</f>
        <v>2.94915267566792</v>
      </c>
      <c r="C13" s="191">
        <f>[12]Auswertung!M13</f>
        <v>1.82192098630151</v>
      </c>
      <c r="D13" s="191">
        <f>[12]Auswertung!N13</f>
        <v>6.53886131249091</v>
      </c>
      <c r="E13" s="191">
        <f>[12]Auswertung!O13</f>
        <v>0.208144642176029</v>
      </c>
      <c r="F13" s="191">
        <f>[12]Auswertung!P13</f>
        <v>26.3373752016893</v>
      </c>
      <c r="G13" s="191">
        <f>[12]Auswertung!Q13</f>
        <v>4.91525445944653</v>
      </c>
      <c r="H13" s="191">
        <f>[12]Auswertung!R13</f>
        <v>57.1480251818316</v>
      </c>
      <c r="I13" s="203">
        <f>[12]Auswertung!U13</f>
        <v>0.0812655403961826</v>
      </c>
      <c r="J13" s="191">
        <f>[12]Auswertung!S13</f>
        <v>50.8620666666667</v>
      </c>
      <c r="K13" s="203">
        <f t="shared" si="0"/>
        <v>100</v>
      </c>
    </row>
    <row r="14" spans="1:11">
      <c r="A14" s="245">
        <f>[12]Auswertung!K14</f>
        <v>42917</v>
      </c>
      <c r="B14" s="191">
        <f>[12]Auswertung!L14</f>
        <v>2.83447748693397</v>
      </c>
      <c r="C14" s="191">
        <f>[12]Auswertung!M14</f>
        <v>1.85771044928602</v>
      </c>
      <c r="D14" s="191">
        <f>[12]Auswertung!N14</f>
        <v>18.9451598706259</v>
      </c>
      <c r="E14" s="191">
        <f>[12]Auswertung!O14</f>
        <v>0.00914347576430314</v>
      </c>
      <c r="F14" s="191">
        <f>[12]Auswertung!P14</f>
        <v>21.8132853483725</v>
      </c>
      <c r="G14" s="191">
        <f>[12]Auswertung!Q14</f>
        <v>4.72412914488995</v>
      </c>
      <c r="H14" s="191">
        <f>[12]Auswertung!R14</f>
        <v>49.7405081578091</v>
      </c>
      <c r="I14" s="203">
        <f>[12]Auswertung!U14</f>
        <v>0.0755860663182393</v>
      </c>
      <c r="J14" s="191">
        <f>[12]Auswertung!S14</f>
        <v>52.9198064516129</v>
      </c>
      <c r="K14" s="203">
        <f t="shared" si="0"/>
        <v>100</v>
      </c>
    </row>
    <row r="15" spans="1:11">
      <c r="A15" s="246">
        <f>[12]Auswertung!K15</f>
        <v>42948</v>
      </c>
      <c r="B15" s="247">
        <f>[12]Auswertung!L15</f>
        <v>2.67209744133741</v>
      </c>
      <c r="C15" s="247">
        <f>[12]Auswertung!M15</f>
        <v>3.18927759127368</v>
      </c>
      <c r="D15" s="247">
        <f>[12]Auswertung!N15</f>
        <v>20.4584974422568</v>
      </c>
      <c r="E15" s="247">
        <f>[12]Auswertung!O15</f>
        <v>0</v>
      </c>
      <c r="F15" s="247">
        <f>[12]Auswertung!P15</f>
        <v>18.5866500862542</v>
      </c>
      <c r="G15" s="247">
        <f>[12]Auswertung!Q15</f>
        <v>4.45349573556234</v>
      </c>
      <c r="H15" s="247">
        <f>[12]Auswertung!R15</f>
        <v>50.5687257715466</v>
      </c>
      <c r="I15" s="259">
        <f>[12]Auswertung!U15</f>
        <v>0.0712559317689975</v>
      </c>
      <c r="J15" s="247">
        <f>[12]Auswertung!S15</f>
        <v>56.1356774193548</v>
      </c>
      <c r="K15" s="259">
        <f t="shared" si="0"/>
        <v>100</v>
      </c>
    </row>
    <row r="16" spans="1:11">
      <c r="A16" t="str">
        <f>[12]Auswertung!K16</f>
        <v>Jahresmenge</v>
      </c>
      <c r="B16" s="191">
        <f>[12]Auswertung!L16</f>
        <v>2.7609285494384</v>
      </c>
      <c r="C16" s="191">
        <f>[12]Auswertung!M16</f>
        <v>1.88033606173588</v>
      </c>
      <c r="D16" s="191">
        <f>[12]Auswertung!N16</f>
        <v>4.25380674054861</v>
      </c>
      <c r="E16" s="191">
        <f>[12]Auswertung!O16</f>
        <v>0.497088165903818</v>
      </c>
      <c r="F16" s="191">
        <f>[12]Auswertung!P16</f>
        <v>28.4131720749349</v>
      </c>
      <c r="G16" s="191">
        <f>[12]Auswertung!Q16</f>
        <v>4.60154758239733</v>
      </c>
      <c r="H16" s="191">
        <f>[12]Auswertung!R16</f>
        <v>57.5180840819988</v>
      </c>
      <c r="I16" s="203">
        <f>[12]Auswertung!U16</f>
        <v>0.0750367430422709</v>
      </c>
      <c r="J16" s="191">
        <f>[12]Auswertung!S16</f>
        <v>108.647605222734</v>
      </c>
      <c r="K16" s="203">
        <f>AVERAGE(K4:K15)</f>
        <v>100</v>
      </c>
    </row>
    <row r="22" spans="3:5">
      <c r="C22" s="824" t="s">
        <v>104</v>
      </c>
      <c r="D22" s="825" t="s">
        <v>259</v>
      </c>
      <c r="E22" s="825" t="s">
        <v>178</v>
      </c>
    </row>
    <row r="23" ht="34" spans="2:5">
      <c r="B23" s="219"/>
      <c r="C23" s="825"/>
      <c r="D23" s="553" t="s">
        <v>388</v>
      </c>
      <c r="E23" s="569" t="s">
        <v>388</v>
      </c>
    </row>
    <row r="24" spans="2:5">
      <c r="B24" s="219"/>
      <c r="C24" s="826"/>
      <c r="D24" s="555" t="s">
        <v>389</v>
      </c>
      <c r="E24" s="570" t="s">
        <v>389</v>
      </c>
    </row>
    <row r="25" spans="3:5">
      <c r="C25" s="827">
        <v>42614</v>
      </c>
      <c r="D25" s="557">
        <v>0.109235012707364</v>
      </c>
      <c r="E25" s="665">
        <v>0.10662781379503</v>
      </c>
    </row>
    <row r="26" spans="3:5">
      <c r="C26" s="828">
        <v>42644</v>
      </c>
      <c r="D26" s="559">
        <v>0.109018287226207</v>
      </c>
      <c r="E26" s="665">
        <v>0.104973153219972</v>
      </c>
    </row>
    <row r="27" spans="3:5">
      <c r="C27" s="828">
        <v>42675</v>
      </c>
      <c r="D27" s="559">
        <v>0.105855771936353</v>
      </c>
      <c r="E27" s="665">
        <v>0.106388432630542</v>
      </c>
    </row>
    <row r="28" spans="3:5">
      <c r="C28" s="828">
        <v>42705</v>
      </c>
      <c r="D28" s="559">
        <v>0.0986083202027286</v>
      </c>
      <c r="E28" s="665">
        <v>0.0956435528401008</v>
      </c>
    </row>
    <row r="29" spans="3:5">
      <c r="C29" s="828">
        <v>42736</v>
      </c>
      <c r="D29" s="559">
        <v>0.111420854351874</v>
      </c>
      <c r="E29" s="665">
        <v>0.111020454116341</v>
      </c>
    </row>
    <row r="30" spans="3:5">
      <c r="C30" s="828">
        <v>42767</v>
      </c>
      <c r="D30" s="559">
        <v>0.142114058688394</v>
      </c>
      <c r="E30" s="665"/>
    </row>
    <row r="31" spans="3:5">
      <c r="C31" s="828">
        <v>42795</v>
      </c>
      <c r="D31" s="559">
        <v>0.111245963652468</v>
      </c>
      <c r="E31" s="665">
        <v>0.108560769546985</v>
      </c>
    </row>
    <row r="32" spans="3:5">
      <c r="C32" s="828">
        <v>42826</v>
      </c>
      <c r="D32" s="559">
        <v>0.0881056282552495</v>
      </c>
      <c r="E32" s="665">
        <v>0.0932292529958609</v>
      </c>
    </row>
    <row r="33" spans="3:5">
      <c r="C33" s="828">
        <v>42856</v>
      </c>
      <c r="D33" s="844"/>
      <c r="E33" s="665">
        <v>0.0808819042239646</v>
      </c>
    </row>
    <row r="34" spans="3:5">
      <c r="C34" s="828">
        <v>42887</v>
      </c>
      <c r="D34" s="559">
        <v>0.0963338408867925</v>
      </c>
      <c r="E34" s="665">
        <v>0.0899035951695493</v>
      </c>
    </row>
    <row r="35" spans="3:5">
      <c r="C35" s="828">
        <v>42917</v>
      </c>
      <c r="D35" s="559">
        <v>0.102190197975753</v>
      </c>
      <c r="E35" s="665">
        <v>0.094079944436359</v>
      </c>
    </row>
    <row r="36" spans="3:5">
      <c r="C36" s="829">
        <v>42948</v>
      </c>
      <c r="D36" s="561">
        <v>0.136877760423462</v>
      </c>
      <c r="E36" s="666">
        <v>0.0995308372282057</v>
      </c>
    </row>
    <row r="37" ht="17.55" spans="3:5">
      <c r="C37" s="562" t="s">
        <v>390</v>
      </c>
      <c r="D37" s="837">
        <f>AVERAGE(D25:D36)</f>
        <v>0.110091426936968</v>
      </c>
      <c r="E37" s="838">
        <f>AVERAGE(E25:E36)</f>
        <v>0.0991672463820829</v>
      </c>
    </row>
    <row r="38" ht="17.55"/>
    <row r="52" ht="30.25" customHeight="1" spans="2:12">
      <c r="B52" s="48" t="s">
        <v>391</v>
      </c>
      <c r="C52" s="48" t="s">
        <v>391</v>
      </c>
      <c r="K52" s="218" t="s">
        <v>392</v>
      </c>
      <c r="L52" s="218"/>
    </row>
    <row r="53" ht="84" spans="2:14">
      <c r="B53" s="48" t="s">
        <v>393</v>
      </c>
      <c r="C53" s="48" t="s">
        <v>394</v>
      </c>
      <c r="D53" s="48" t="s">
        <v>395</v>
      </c>
      <c r="E53" s="48" t="s">
        <v>396</v>
      </c>
      <c r="F53" s="48" t="s">
        <v>183</v>
      </c>
      <c r="G53" s="48" t="s">
        <v>184</v>
      </c>
      <c r="H53" s="48" t="s">
        <v>397</v>
      </c>
      <c r="I53" s="48" t="s">
        <v>398</v>
      </c>
      <c r="J53" s="48" t="s">
        <v>399</v>
      </c>
      <c r="K53" s="48" t="s">
        <v>400</v>
      </c>
      <c r="L53" s="48" t="s">
        <v>401</v>
      </c>
      <c r="M53" s="48"/>
      <c r="N53" s="48"/>
    </row>
    <row r="54" ht="34" spans="1:24">
      <c r="A54" s="228" t="s">
        <v>154</v>
      </c>
      <c r="B54" s="760" t="s">
        <v>185</v>
      </c>
      <c r="C54" s="760" t="s">
        <v>185</v>
      </c>
      <c r="D54" s="760" t="s">
        <v>185</v>
      </c>
      <c r="E54" s="760" t="s">
        <v>185</v>
      </c>
      <c r="F54" s="760" t="s">
        <v>59</v>
      </c>
      <c r="G54" s="760" t="s">
        <v>402</v>
      </c>
      <c r="H54" s="760" t="s">
        <v>185</v>
      </c>
      <c r="I54" s="760" t="s">
        <v>403</v>
      </c>
      <c r="J54" s="760" t="s">
        <v>404</v>
      </c>
      <c r="K54" s="760" t="s">
        <v>122</v>
      </c>
      <c r="L54" s="760" t="s">
        <v>122</v>
      </c>
      <c r="M54" s="48"/>
      <c r="N54" s="48"/>
      <c r="X54" s="579"/>
    </row>
    <row r="55" spans="1:12">
      <c r="A55" s="245">
        <f t="shared" ref="A55:A66" si="1">C25</f>
        <v>42614</v>
      </c>
      <c r="B55" s="251">
        <f>[12]Biogas_Nm!G9</f>
        <v>371802.24</v>
      </c>
      <c r="C55" s="251">
        <f t="shared" ref="C55:C66" si="2">B55/(L55/K55)</f>
        <v>357184.374153846</v>
      </c>
      <c r="D55" s="199">
        <f>'[12]Tabellen für Auswertung'!Q124</f>
        <v>33453.4</v>
      </c>
      <c r="E55" s="251" t="s">
        <v>405</v>
      </c>
      <c r="F55" s="689">
        <f t="shared" ref="F55:F66" si="3">B55/K55/J55*100</f>
        <v>91.8846975088968</v>
      </c>
      <c r="G55" s="689">
        <f t="shared" ref="G55:G66" si="4">D55/L55/J55*100</f>
        <v>7.94240265906933</v>
      </c>
      <c r="H55" t="e">
        <f t="shared" ref="H55:H66" si="5">E55/L55/J55</f>
        <v>#VALUE!</v>
      </c>
      <c r="I55">
        <v>30</v>
      </c>
      <c r="J55">
        <f t="shared" ref="J55:J66" si="6">I55*24</f>
        <v>720</v>
      </c>
      <c r="K55" s="199">
        <v>562</v>
      </c>
      <c r="L55" s="199">
        <v>585</v>
      </c>
    </row>
    <row r="56" spans="1:12">
      <c r="A56" s="245">
        <f t="shared" si="1"/>
        <v>42644</v>
      </c>
      <c r="B56" s="251">
        <f>[12]Biogas_Nm!G10</f>
        <v>394005.6</v>
      </c>
      <c r="C56" s="251">
        <f t="shared" si="2"/>
        <v>378514.781538462</v>
      </c>
      <c r="D56" s="199">
        <f>'[12]Tabellen für Auswertung'!Q125</f>
        <v>46916.4</v>
      </c>
      <c r="E56" s="251" t="s">
        <v>405</v>
      </c>
      <c r="F56" s="689">
        <f t="shared" si="3"/>
        <v>94.2308575364482</v>
      </c>
      <c r="G56" s="689">
        <f t="shared" si="4"/>
        <v>10.7794320374966</v>
      </c>
      <c r="H56" t="e">
        <f t="shared" si="5"/>
        <v>#VALUE!</v>
      </c>
      <c r="I56">
        <v>31</v>
      </c>
      <c r="J56">
        <f t="shared" si="6"/>
        <v>744</v>
      </c>
      <c r="K56" s="199">
        <v>562</v>
      </c>
      <c r="L56" s="199">
        <v>585</v>
      </c>
    </row>
    <row r="57" spans="1:12">
      <c r="A57" s="245">
        <f t="shared" si="1"/>
        <v>42675</v>
      </c>
      <c r="B57" s="251">
        <f>[12]Biogas_Nm!G11</f>
        <v>393148.8</v>
      </c>
      <c r="C57" s="251">
        <f t="shared" si="2"/>
        <v>377691.667692307</v>
      </c>
      <c r="D57" s="199">
        <f>'[12]Tabellen für Auswertung'!Q126</f>
        <v>70399.7000000001</v>
      </c>
      <c r="E57" s="251" t="s">
        <v>405</v>
      </c>
      <c r="F57" s="689">
        <f t="shared" si="3"/>
        <v>97.1601423487544</v>
      </c>
      <c r="G57" s="689">
        <f t="shared" si="4"/>
        <v>16.7140788224122</v>
      </c>
      <c r="H57" t="e">
        <f t="shared" si="5"/>
        <v>#VALUE!</v>
      </c>
      <c r="I57">
        <v>30</v>
      </c>
      <c r="J57">
        <f t="shared" si="6"/>
        <v>720</v>
      </c>
      <c r="K57" s="199">
        <v>562</v>
      </c>
      <c r="L57" s="199">
        <v>585</v>
      </c>
    </row>
    <row r="58" spans="1:12">
      <c r="A58" s="245">
        <f t="shared" si="1"/>
        <v>42705</v>
      </c>
      <c r="B58" s="251">
        <f>[12]Biogas_Nm!G12</f>
        <v>252954.288</v>
      </c>
      <c r="C58" s="251">
        <f t="shared" si="2"/>
        <v>243009.076676923</v>
      </c>
      <c r="D58" s="199">
        <f>'[12]Tabellen für Auswertung'!Q127</f>
        <v>45271.7999999998</v>
      </c>
      <c r="E58" s="251" t="s">
        <v>405</v>
      </c>
      <c r="F58" s="689">
        <f t="shared" si="3"/>
        <v>60.4968545517163</v>
      </c>
      <c r="G58" s="689">
        <f t="shared" si="4"/>
        <v>10.4015715467328</v>
      </c>
      <c r="H58" t="e">
        <f t="shared" si="5"/>
        <v>#VALUE!</v>
      </c>
      <c r="I58">
        <v>31</v>
      </c>
      <c r="J58">
        <f t="shared" si="6"/>
        <v>744</v>
      </c>
      <c r="K58" s="199">
        <v>562</v>
      </c>
      <c r="L58" s="199">
        <v>585</v>
      </c>
    </row>
    <row r="59" spans="1:12">
      <c r="A59" s="245">
        <f t="shared" si="1"/>
        <v>42736</v>
      </c>
      <c r="B59" s="251">
        <f>[12]Biogas_Nm!G13</f>
        <v>391799.952</v>
      </c>
      <c r="C59" s="251">
        <f t="shared" si="2"/>
        <v>376395.851323077</v>
      </c>
      <c r="D59" s="199">
        <f>'[12]Tabellen für Auswertung'!Q128</f>
        <v>92187.2</v>
      </c>
      <c r="E59" s="251" t="s">
        <v>405</v>
      </c>
      <c r="F59" s="689">
        <f t="shared" si="3"/>
        <v>93.7033520835725</v>
      </c>
      <c r="G59" s="689">
        <f t="shared" si="4"/>
        <v>21.1807738259351</v>
      </c>
      <c r="H59" t="e">
        <f t="shared" si="5"/>
        <v>#VALUE!</v>
      </c>
      <c r="I59">
        <v>31</v>
      </c>
      <c r="J59">
        <f t="shared" si="6"/>
        <v>744</v>
      </c>
      <c r="K59" s="199">
        <v>562</v>
      </c>
      <c r="L59" s="199">
        <v>585</v>
      </c>
    </row>
    <row r="60" spans="1:12">
      <c r="A60" s="245">
        <f t="shared" si="1"/>
        <v>42767</v>
      </c>
      <c r="B60" s="251">
        <f>[12]Biogas_Nm!G14</f>
        <v>403182.07488</v>
      </c>
      <c r="C60" s="251">
        <f t="shared" si="2"/>
        <v>387330.471936</v>
      </c>
      <c r="D60" s="199">
        <f>'[12]Tabellen für Auswertung'!Q129</f>
        <v>73887.3000000003</v>
      </c>
      <c r="E60" s="251" t="s">
        <v>405</v>
      </c>
      <c r="F60" s="689">
        <f t="shared" si="3"/>
        <v>106.756819522115</v>
      </c>
      <c r="G60" s="689">
        <f t="shared" si="4"/>
        <v>18.7951007326008</v>
      </c>
      <c r="H60" t="e">
        <f t="shared" si="5"/>
        <v>#VALUE!</v>
      </c>
      <c r="I60">
        <v>28</v>
      </c>
      <c r="J60">
        <f t="shared" si="6"/>
        <v>672</v>
      </c>
      <c r="K60" s="199">
        <v>562</v>
      </c>
      <c r="L60" s="199">
        <v>585</v>
      </c>
    </row>
    <row r="61" spans="1:12">
      <c r="A61" s="245">
        <f t="shared" si="1"/>
        <v>42795</v>
      </c>
      <c r="B61" s="251">
        <f>[12]Biogas_Nm!G15</f>
        <v>372168.06912</v>
      </c>
      <c r="C61" s="251">
        <f t="shared" si="2"/>
        <v>357535.820248615</v>
      </c>
      <c r="D61" s="199">
        <f>'[12]Tabellen für Auswertung'!Q130</f>
        <v>69011.3999999999</v>
      </c>
      <c r="E61" s="251" t="s">
        <v>405</v>
      </c>
      <c r="F61" s="689">
        <f t="shared" si="3"/>
        <v>89.0081671449891</v>
      </c>
      <c r="G61" s="689">
        <f t="shared" si="4"/>
        <v>15.8559415494899</v>
      </c>
      <c r="H61" t="e">
        <f t="shared" si="5"/>
        <v>#VALUE!</v>
      </c>
      <c r="I61">
        <v>31</v>
      </c>
      <c r="J61">
        <f t="shared" si="6"/>
        <v>744</v>
      </c>
      <c r="K61" s="199">
        <v>562</v>
      </c>
      <c r="L61" s="199">
        <v>585</v>
      </c>
    </row>
    <row r="62" spans="1:12">
      <c r="A62" s="245">
        <f t="shared" si="1"/>
        <v>42826</v>
      </c>
      <c r="B62" s="251">
        <f>[12]Biogas_Nm!G16</f>
        <v>395462.159999999</v>
      </c>
      <c r="C62" s="251">
        <f t="shared" si="2"/>
        <v>379914.075076922</v>
      </c>
      <c r="D62" s="199">
        <f>'[12]Tabellen für Auswertung'!Q131</f>
        <v>60397.4999999999</v>
      </c>
      <c r="E62" s="251" t="s">
        <v>405</v>
      </c>
      <c r="F62" s="689">
        <f t="shared" si="3"/>
        <v>97.7318505338076</v>
      </c>
      <c r="G62" s="689">
        <f t="shared" si="4"/>
        <v>14.3393874643874</v>
      </c>
      <c r="H62" t="e">
        <f t="shared" si="5"/>
        <v>#VALUE!</v>
      </c>
      <c r="I62">
        <v>30</v>
      </c>
      <c r="J62">
        <f t="shared" si="6"/>
        <v>720</v>
      </c>
      <c r="K62" s="199">
        <v>562</v>
      </c>
      <c r="L62" s="199">
        <v>585</v>
      </c>
    </row>
    <row r="63" spans="1:12">
      <c r="A63" s="245">
        <f t="shared" si="1"/>
        <v>42856</v>
      </c>
      <c r="B63" s="251">
        <f>[12]Biogas_Nm!G17</f>
        <v>405468.36</v>
      </c>
      <c r="C63" s="251">
        <f t="shared" si="2"/>
        <v>389526.868923077</v>
      </c>
      <c r="D63" s="199">
        <f>'[12]Tabellen für Auswertung'!Q132</f>
        <v>48462.2000000002</v>
      </c>
      <c r="E63" s="251" t="s">
        <v>405</v>
      </c>
      <c r="F63" s="689">
        <f t="shared" si="3"/>
        <v>96.9723051314431</v>
      </c>
      <c r="G63" s="689">
        <f t="shared" si="4"/>
        <v>11.134592408786</v>
      </c>
      <c r="H63" t="e">
        <f t="shared" si="5"/>
        <v>#VALUE!</v>
      </c>
      <c r="I63">
        <v>31</v>
      </c>
      <c r="J63">
        <f t="shared" si="6"/>
        <v>744</v>
      </c>
      <c r="K63" s="199">
        <v>562</v>
      </c>
      <c r="L63" s="199">
        <v>585</v>
      </c>
    </row>
    <row r="64" spans="1:12">
      <c r="A64" s="245">
        <f t="shared" si="1"/>
        <v>42887</v>
      </c>
      <c r="B64" s="251">
        <f>[12]Biogas_Nm!G18</f>
        <v>382564.872</v>
      </c>
      <c r="C64" s="251">
        <f t="shared" si="2"/>
        <v>367523.859938461</v>
      </c>
      <c r="D64" s="199">
        <f>'[12]Tabellen für Auswertung'!Q133</f>
        <v>38056.2999999999</v>
      </c>
      <c r="E64" s="251" t="s">
        <v>405</v>
      </c>
      <c r="F64" s="689">
        <f t="shared" si="3"/>
        <v>94.5445017793594</v>
      </c>
      <c r="G64" s="689">
        <f t="shared" si="4"/>
        <v>9.03520892687558</v>
      </c>
      <c r="H64" t="e">
        <f t="shared" si="5"/>
        <v>#VALUE!</v>
      </c>
      <c r="I64">
        <v>30</v>
      </c>
      <c r="J64">
        <f t="shared" si="6"/>
        <v>720</v>
      </c>
      <c r="K64" s="199">
        <v>562</v>
      </c>
      <c r="L64" s="199">
        <v>585</v>
      </c>
    </row>
    <row r="65" spans="1:12">
      <c r="A65" s="245">
        <f t="shared" si="1"/>
        <v>42917</v>
      </c>
      <c r="B65" s="251">
        <f>[12]Biogas_Nm!G19</f>
        <v>393605.352</v>
      </c>
      <c r="C65" s="251">
        <f t="shared" si="2"/>
        <v>378130.269784616</v>
      </c>
      <c r="D65" s="199">
        <f>'[12]Tabellen für Auswertung'!Q134</f>
        <v>39072.8999999999</v>
      </c>
      <c r="E65" s="251" t="s">
        <v>405</v>
      </c>
      <c r="F65" s="689">
        <f t="shared" si="3"/>
        <v>94.1351337389509</v>
      </c>
      <c r="G65" s="689">
        <f t="shared" si="4"/>
        <v>8.97732285635509</v>
      </c>
      <c r="H65" t="e">
        <f t="shared" si="5"/>
        <v>#VALUE!</v>
      </c>
      <c r="I65">
        <v>31</v>
      </c>
      <c r="J65">
        <f t="shared" si="6"/>
        <v>744</v>
      </c>
      <c r="K65" s="199">
        <v>562</v>
      </c>
      <c r="L65" s="199">
        <v>585</v>
      </c>
    </row>
    <row r="66" spans="1:12">
      <c r="A66" s="246">
        <f t="shared" si="1"/>
        <v>42948</v>
      </c>
      <c r="B66" s="252">
        <f>[12]Biogas_Nm!G20</f>
        <v>391536.792</v>
      </c>
      <c r="C66" s="252">
        <f t="shared" si="2"/>
        <v>376143.037784615</v>
      </c>
      <c r="D66" s="227">
        <f>'[12]Tabellen für Auswertung'!Q135</f>
        <v>38643.6</v>
      </c>
      <c r="E66" s="252" t="s">
        <v>405</v>
      </c>
      <c r="F66" s="762">
        <f t="shared" si="3"/>
        <v>96.7617615658362</v>
      </c>
      <c r="G66" s="762">
        <f t="shared" si="4"/>
        <v>9.17464387464387</v>
      </c>
      <c r="H66" s="228" t="e">
        <f t="shared" si="5"/>
        <v>#VALUE!</v>
      </c>
      <c r="I66" s="228">
        <v>30</v>
      </c>
      <c r="J66" s="228">
        <f t="shared" si="6"/>
        <v>720</v>
      </c>
      <c r="K66" s="227">
        <v>562</v>
      </c>
      <c r="L66" s="227">
        <v>585</v>
      </c>
    </row>
    <row r="67" spans="1:12">
      <c r="A67" t="s">
        <v>406</v>
      </c>
      <c r="B67" s="251">
        <f t="shared" ref="B67:H67" si="7">AVERAGE(B55:B66)</f>
        <v>378974.88</v>
      </c>
      <c r="C67" s="251">
        <f t="shared" si="7"/>
        <v>364075.012923077</v>
      </c>
      <c r="D67" s="251">
        <f t="shared" si="7"/>
        <v>54646.6416666667</v>
      </c>
      <c r="E67" s="251" t="e">
        <f t="shared" si="7"/>
        <v>#DIV/0!</v>
      </c>
      <c r="F67" s="761">
        <f t="shared" si="7"/>
        <v>92.7822036204908</v>
      </c>
      <c r="G67" s="761">
        <f t="shared" si="7"/>
        <v>12.8608713920654</v>
      </c>
      <c r="H67" t="e">
        <f t="shared" si="7"/>
        <v>#VALUE!</v>
      </c>
      <c r="K67">
        <f>AVERAGE(K55:K66)</f>
        <v>562</v>
      </c>
      <c r="L67">
        <f>AVERAGE(L55:L66)</f>
        <v>585</v>
      </c>
    </row>
    <row r="68" spans="1:5">
      <c r="A68" t="s">
        <v>386</v>
      </c>
      <c r="B68" s="251">
        <f>SUM(B55:B66)</f>
        <v>4547698.56</v>
      </c>
      <c r="C68" s="251">
        <f>SUM(C55:C66)</f>
        <v>4368900.15507692</v>
      </c>
      <c r="D68" s="251">
        <f>SUM(D55:D66)</f>
        <v>655759.7</v>
      </c>
      <c r="E68" s="251">
        <f>SUM(E55:E66)</f>
        <v>0</v>
      </c>
    </row>
    <row r="69" spans="6:6">
      <c r="F69" t="s">
        <v>407</v>
      </c>
    </row>
    <row r="70" spans="6:7">
      <c r="F70" s="761">
        <f>(B68+E68)/((K67+L67)*8760)</f>
        <v>0.452610001074871</v>
      </c>
      <c r="G70" t="s">
        <v>408</v>
      </c>
    </row>
    <row r="71" spans="7:7">
      <c r="G71" t="s">
        <v>409</v>
      </c>
    </row>
    <row r="73" spans="6:6">
      <c r="F73">
        <f>B68/K67/8760</f>
        <v>0.923743187247112</v>
      </c>
    </row>
  </sheetData>
  <mergeCells count="1">
    <mergeCell ref="K52:L52"/>
  </mergeCells>
  <pageMargins left="0.7" right="0.7" top="0.787401575" bottom="0.787401575" header="0.3" footer="0.3"/>
  <pageSetup paperSize="9" orientation="portrait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49977111117893"/>
  </sheetPr>
  <dimension ref="A1:N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3">
      <c r="A2" s="1"/>
      <c r="B2" s="2" t="s">
        <v>366</v>
      </c>
      <c r="C2" s="3"/>
      <c r="D2" s="3"/>
      <c r="E2" s="3"/>
      <c r="F2" s="3"/>
      <c r="G2" s="3"/>
      <c r="H2" s="3"/>
      <c r="I2" s="3"/>
      <c r="J2" s="3"/>
      <c r="K2" s="34"/>
      <c r="L2" s="1"/>
      <c r="M2" t="s">
        <v>77</v>
      </c>
    </row>
    <row r="3" ht="21.75" customHeight="1" spans="1:13">
      <c r="A3" s="1"/>
      <c r="B3" s="4" t="s">
        <v>2</v>
      </c>
      <c r="C3" s="5"/>
      <c r="D3" s="5"/>
      <c r="E3" s="5"/>
      <c r="F3" s="21">
        <v>562</v>
      </c>
      <c r="G3" s="21"/>
      <c r="H3" s="23" t="s">
        <v>187</v>
      </c>
      <c r="I3" s="5" t="s">
        <v>188</v>
      </c>
      <c r="J3" s="35">
        <v>4476479</v>
      </c>
      <c r="K3" s="36" t="s">
        <v>189</v>
      </c>
      <c r="L3" s="1"/>
      <c r="M3" t="s">
        <v>77</v>
      </c>
    </row>
    <row r="4" ht="21.75" customHeight="1" spans="1:12">
      <c r="A4" s="1"/>
      <c r="B4" s="6" t="s">
        <v>190</v>
      </c>
      <c r="C4" s="7"/>
      <c r="D4" s="7"/>
      <c r="E4" s="7"/>
      <c r="F4" s="184">
        <f>0.95*F3</f>
        <v>533.9</v>
      </c>
      <c r="G4" s="184"/>
      <c r="H4" s="25" t="s">
        <v>187</v>
      </c>
      <c r="I4" s="7" t="s">
        <v>191</v>
      </c>
      <c r="J4" s="37">
        <v>1917481.62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96.6375939931236</v>
      </c>
      <c r="H6" s="27" t="s">
        <v>195</v>
      </c>
      <c r="I6" s="1"/>
      <c r="J6" s="40">
        <v>854694.82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1.74096501708072</v>
      </c>
      <c r="H7" s="27" t="s">
        <v>195</v>
      </c>
      <c r="I7" s="1"/>
      <c r="J7" s="40">
        <v>15397.67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1.62144098979567</v>
      </c>
      <c r="H8" s="27" t="s">
        <v>195</v>
      </c>
      <c r="I8" s="1"/>
      <c r="J8" s="40">
        <v>14340.56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884433.05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1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39.3696753149323</v>
      </c>
      <c r="H11" s="27" t="s">
        <v>195</v>
      </c>
      <c r="I11" s="1"/>
      <c r="J11" s="40">
        <v>278526.89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30</v>
      </c>
      <c r="F13" s="15" t="s">
        <v>204</v>
      </c>
      <c r="G13" s="31"/>
      <c r="H13" s="15"/>
      <c r="I13" s="15"/>
      <c r="J13" s="45">
        <v>170385.9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43</v>
      </c>
      <c r="F14" s="15" t="s">
        <v>204</v>
      </c>
      <c r="G14" s="31"/>
      <c r="H14" s="15"/>
      <c r="I14" s="15"/>
      <c r="J14" s="45">
        <v>48068.41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130</v>
      </c>
      <c r="F15" s="15" t="s">
        <v>204</v>
      </c>
      <c r="G15" s="31"/>
      <c r="H15" s="15"/>
      <c r="I15" s="15"/>
      <c r="J15" s="45">
        <v>43956.9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8.75184523119182</v>
      </c>
      <c r="H16" s="27" t="s">
        <v>195</v>
      </c>
      <c r="I16" s="1"/>
      <c r="J16" s="40">
        <v>61916.29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9.94926325387858</v>
      </c>
      <c r="H17" s="27" t="s">
        <v>195</v>
      </c>
      <c r="I17" s="1"/>
      <c r="J17" s="40">
        <v>70387.61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16.6701064101284</v>
      </c>
      <c r="H18" s="27" t="s">
        <v>195</v>
      </c>
      <c r="I18" s="1"/>
      <c r="J18" s="40">
        <v>117935.26</v>
      </c>
      <c r="K18" s="41" t="s">
        <v>196</v>
      </c>
      <c r="L18" s="1"/>
    </row>
    <row r="19" ht="21.75" customHeight="1" spans="1:13">
      <c r="A19" s="1"/>
      <c r="B19" s="11"/>
      <c r="C19" s="1" t="s">
        <v>210</v>
      </c>
      <c r="D19" s="1"/>
      <c r="E19" s="1"/>
      <c r="F19" s="1"/>
      <c r="G19" s="26">
        <v>25.2591097898689</v>
      </c>
      <c r="H19" s="27" t="s">
        <v>195</v>
      </c>
      <c r="I19" s="1"/>
      <c r="J19" s="40">
        <v>178699.5</v>
      </c>
      <c r="K19" s="41" t="s">
        <v>196</v>
      </c>
      <c r="L19" s="1"/>
      <c r="M19" t="s">
        <v>77</v>
      </c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65502.72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5000</v>
      </c>
      <c r="K23" s="44" t="s">
        <v>196</v>
      </c>
      <c r="L23" s="15"/>
    </row>
    <row r="24" ht="21.75" customHeight="1" spans="1:14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  <c r="M24" t="s">
        <v>77</v>
      </c>
      <c r="N24" t="s">
        <v>77</v>
      </c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2824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18813.39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499.55</v>
      </c>
      <c r="K27" s="44" t="s">
        <v>196</v>
      </c>
      <c r="L27" s="15"/>
    </row>
    <row r="28" ht="21.75" customHeight="1" spans="1:13">
      <c r="A28" s="15"/>
      <c r="B28" s="16"/>
      <c r="C28" s="15"/>
      <c r="D28" s="15" t="s">
        <v>219</v>
      </c>
      <c r="E28" s="15"/>
      <c r="F28" s="15"/>
      <c r="G28" s="31"/>
      <c r="H28" s="15"/>
      <c r="I28" s="15" t="s">
        <v>77</v>
      </c>
      <c r="J28" s="45">
        <v>22247.25</v>
      </c>
      <c r="K28" s="44" t="s">
        <v>196</v>
      </c>
      <c r="L28" s="15"/>
      <c r="M28" t="s">
        <v>77</v>
      </c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18539.45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45273.14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707465.55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19.7573371839788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15.8040627466364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3.95327443734239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176967.5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  <pageSetUpPr fitToPage="1"/>
  </sheetPr>
  <dimension ref="A1:T61"/>
  <sheetViews>
    <sheetView zoomScale="115" zoomScaleNormal="115" topLeftCell="A8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21.3365384615385" style="157" customWidth="1"/>
    <col min="14" max="14" width="11.6634615384615" style="156" customWidth="1"/>
    <col min="15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410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213" t="s">
        <v>411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880" t="s">
        <v>354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82" t="s">
        <v>368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213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412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283</v>
      </c>
      <c r="E13" s="67" t="s">
        <v>259</v>
      </c>
      <c r="F13" s="67" t="s">
        <v>178</v>
      </c>
      <c r="G13" s="65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>
        <v>1</v>
      </c>
      <c r="G14" s="65"/>
      <c r="H14" s="64"/>
      <c r="I14" s="57" t="s">
        <v>248</v>
      </c>
      <c r="J14" s="64"/>
      <c r="K14" s="92">
        <f>'[15]Tabellen für Auswertung'!I16</f>
        <v>18164.28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71">
        <v>260</v>
      </c>
      <c r="E15" s="69">
        <v>1570</v>
      </c>
      <c r="F15" s="69">
        <v>1570</v>
      </c>
      <c r="G15" s="65"/>
      <c r="H15" s="98">
        <f>SUM(D15:F15)</f>
        <v>3400</v>
      </c>
      <c r="I15" s="57" t="s">
        <v>249</v>
      </c>
      <c r="J15" s="64"/>
      <c r="K15" s="168">
        <f>'[15]Tabellen für Auswertung'!I33</f>
        <v>50.1193298259089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71">
        <v>238</v>
      </c>
      <c r="E16" s="69">
        <v>1437</v>
      </c>
      <c r="F16" s="69">
        <v>1437</v>
      </c>
      <c r="G16" s="65"/>
      <c r="H16" s="98">
        <f>SUM(D16:F16)</f>
        <v>3112</v>
      </c>
      <c r="I16" s="56" t="s">
        <v>155</v>
      </c>
      <c r="J16" s="56"/>
      <c r="K16" s="591">
        <f>'[15]Tabellen für Auswertung'!B50*100</f>
        <v>52.8564853657838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65"/>
      <c r="H17" s="98"/>
      <c r="I17" s="56" t="s">
        <v>371</v>
      </c>
      <c r="J17" s="56"/>
      <c r="K17" s="591">
        <f>'[15]Tabellen für Auswertung'!F50*100</f>
        <v>40.9333593183985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400</v>
      </c>
      <c r="F18" s="71">
        <v>400</v>
      </c>
      <c r="G18" s="65"/>
      <c r="H18" s="587">
        <v>800</v>
      </c>
      <c r="I18" s="56" t="s">
        <v>155</v>
      </c>
      <c r="J18" s="56"/>
      <c r="K18" s="591">
        <f>'[15]Tabellen für Auswertung'!D50*100</f>
        <v>3.46168414052195</v>
      </c>
      <c r="L18" s="118" t="s">
        <v>59</v>
      </c>
      <c r="M18" s="178"/>
    </row>
    <row r="19" ht="15" customHeight="1" spans="1:14">
      <c r="A19" s="157"/>
      <c r="B19" s="57"/>
      <c r="C19" s="56"/>
      <c r="D19" s="70"/>
      <c r="E19" s="70"/>
      <c r="F19" s="70"/>
      <c r="G19" s="70"/>
      <c r="H19" s="100"/>
      <c r="I19" s="56" t="s">
        <v>372</v>
      </c>
      <c r="J19" s="56"/>
      <c r="K19" s="591">
        <f>'[15]Tabellen für Auswertung'!E50*100</f>
        <v>1.61107404202093</v>
      </c>
      <c r="L19" s="118" t="s">
        <v>59</v>
      </c>
      <c r="M19" s="178"/>
      <c r="N19" s="183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157</v>
      </c>
      <c r="J20" s="56"/>
      <c r="K20" s="591">
        <f>'[15]Tabellen für Auswertung'!H50*100</f>
        <v>1.13739713327476</v>
      </c>
      <c r="L20" s="118" t="s">
        <v>59</v>
      </c>
      <c r="M20" s="178"/>
    </row>
    <row r="21" ht="15" customHeight="1" spans="1:15">
      <c r="A21" s="157"/>
      <c r="B21" s="66" t="s">
        <v>71</v>
      </c>
      <c r="C21" s="64" t="s">
        <v>59</v>
      </c>
      <c r="D21" s="78"/>
      <c r="E21" s="75">
        <f>[15]Auswertung!L182</f>
        <v>7.33675085949594</v>
      </c>
      <c r="F21" s="75">
        <f>[15]Auswertung!O182</f>
        <v>7.64274470737845</v>
      </c>
      <c r="G21" s="80"/>
      <c r="H21" s="102"/>
      <c r="I21" s="56"/>
      <c r="J21" s="56"/>
      <c r="K21" s="832"/>
      <c r="L21" s="118"/>
      <c r="M21" s="178"/>
      <c r="O21" s="823"/>
    </row>
    <row r="22" ht="15" customHeight="1" spans="1:13">
      <c r="A22" s="157"/>
      <c r="B22" s="66" t="s">
        <v>73</v>
      </c>
      <c r="C22" s="64" t="s">
        <v>59</v>
      </c>
      <c r="D22" s="78"/>
      <c r="E22" s="75">
        <f>[15]Auswertung!N182</f>
        <v>74.010328176636</v>
      </c>
      <c r="F22" s="75">
        <f>[15]Auswertung!Q182</f>
        <v>74.7760315800996</v>
      </c>
      <c r="G22" s="80"/>
      <c r="H22" s="102"/>
      <c r="I22" s="56"/>
      <c r="J22" s="56"/>
      <c r="K22" s="56"/>
      <c r="L22" s="118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80"/>
      <c r="F23" s="162"/>
      <c r="G23" s="80"/>
      <c r="H23" s="103" t="s">
        <v>413</v>
      </c>
      <c r="I23" s="534" t="s">
        <v>76</v>
      </c>
      <c r="J23" s="56"/>
      <c r="K23" s="56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80"/>
      <c r="F24" s="773"/>
      <c r="G24" s="77"/>
      <c r="H24" s="104" t="s">
        <v>414</v>
      </c>
      <c r="I24" s="55" t="s">
        <v>80</v>
      </c>
      <c r="J24" s="56"/>
      <c r="K24" s="591">
        <f>'[15]Tabellen für Auswertung'!I84</f>
        <v>24.0451354144962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8"/>
      <c r="E25" s="78"/>
      <c r="F25" s="78"/>
      <c r="G25" s="78"/>
      <c r="H25" s="174" t="s">
        <v>415</v>
      </c>
      <c r="I25" s="56" t="s">
        <v>83</v>
      </c>
      <c r="J25" s="56"/>
      <c r="K25" s="591">
        <f>'[15]Tabellen für Auswertung'!I101</f>
        <v>86.2160055881881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102" t="s">
        <v>416</v>
      </c>
      <c r="I26" s="56" t="s">
        <v>86</v>
      </c>
      <c r="J26" s="56"/>
      <c r="K26" s="591">
        <f>'[15]Tabellen für Auswertung'!I118</f>
        <v>55.450297244105</v>
      </c>
      <c r="L26" s="118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78"/>
      <c r="G27" s="78"/>
      <c r="H27" s="103" t="s">
        <v>338</v>
      </c>
      <c r="I27" s="130"/>
      <c r="J27" s="130"/>
      <c r="K27" s="130"/>
      <c r="L27" s="167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78"/>
      <c r="G28" s="78"/>
      <c r="H28" s="103" t="s">
        <v>357</v>
      </c>
      <c r="I28" s="63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8"/>
      <c r="E29" s="75">
        <f>[15]Auswertung!N259</f>
        <v>7.87</v>
      </c>
      <c r="F29" s="75">
        <f>[15]Auswertung!Q259</f>
        <v>7.84333333333333</v>
      </c>
      <c r="G29" s="78"/>
      <c r="H29" s="78"/>
      <c r="I29" s="66" t="s">
        <v>26</v>
      </c>
      <c r="J29" s="64"/>
      <c r="K29" s="64">
        <v>1</v>
      </c>
      <c r="L29" s="114"/>
    </row>
    <row r="30" ht="15" customHeight="1" spans="1:12">
      <c r="A30" s="157"/>
      <c r="B30" s="66" t="s">
        <v>94</v>
      </c>
      <c r="C30" s="56" t="s">
        <v>95</v>
      </c>
      <c r="D30" s="78"/>
      <c r="E30" s="75">
        <f>[15]Temp_Gaszus!J20</f>
        <v>42.9363888888889</v>
      </c>
      <c r="F30" s="75">
        <f>[15]Temp_Gaszus!K20</f>
        <v>42.8675462962963</v>
      </c>
      <c r="G30" s="78"/>
      <c r="H30" s="78"/>
      <c r="I30" s="66" t="s">
        <v>96</v>
      </c>
      <c r="J30" s="92"/>
      <c r="K30" s="92">
        <v>3360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8"/>
      <c r="E31" s="75">
        <f>[15]Auswertung!L259/1000</f>
        <v>2.11333333333333</v>
      </c>
      <c r="F31" s="75">
        <f>[15]Auswertung!O259/1000</f>
        <v>2.01833333333333</v>
      </c>
      <c r="G31" s="78"/>
      <c r="H31" s="78"/>
      <c r="I31" s="66" t="s">
        <v>99</v>
      </c>
      <c r="J31" s="92"/>
      <c r="K31" s="64">
        <v>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8"/>
      <c r="E32" s="75">
        <f>[15]Auswertung!M259/1000</f>
        <v>4.78011253322169</v>
      </c>
      <c r="F32" s="75">
        <f>[15]Auswertung!P259/1000</f>
        <v>4.86</v>
      </c>
      <c r="G32" s="78"/>
      <c r="H32" s="78"/>
      <c r="I32" s="66" t="s">
        <v>66</v>
      </c>
      <c r="J32" s="92"/>
      <c r="K32" s="92">
        <v>800</v>
      </c>
      <c r="L32" s="114" t="s">
        <v>55</v>
      </c>
    </row>
    <row r="33" ht="15" customHeight="1" spans="1:14">
      <c r="A33" s="157"/>
      <c r="B33" s="66" t="s">
        <v>101</v>
      </c>
      <c r="C33" s="64" t="s">
        <v>102</v>
      </c>
      <c r="D33" s="78"/>
      <c r="E33" s="77">
        <f>'[15]03 DBFZ Labordaten'!Y44</f>
        <v>157</v>
      </c>
      <c r="F33" s="77">
        <f>'[15]03 DBFZ Labordaten'!Y59</f>
        <v>175</v>
      </c>
      <c r="G33" s="78"/>
      <c r="H33" s="78" t="s">
        <v>77</v>
      </c>
      <c r="I33" s="57" t="s">
        <v>103</v>
      </c>
      <c r="J33" s="64"/>
      <c r="K33" s="194">
        <v>14.3</v>
      </c>
      <c r="L33" s="114" t="s">
        <v>59</v>
      </c>
      <c r="N33" s="156" t="s">
        <v>417</v>
      </c>
    </row>
    <row r="34" ht="15" customHeight="1" spans="1:14">
      <c r="A34" s="157"/>
      <c r="B34" s="66" t="s">
        <v>104</v>
      </c>
      <c r="C34" s="64" t="s">
        <v>62</v>
      </c>
      <c r="D34" s="78"/>
      <c r="E34" s="80">
        <f>[15]Auswertung!O215</f>
        <v>0.129093007383613</v>
      </c>
      <c r="F34" s="80">
        <f>[15]Auswertung!S215</f>
        <v>0.13321092245201</v>
      </c>
      <c r="G34" s="78"/>
      <c r="H34" s="78"/>
      <c r="I34" s="66" t="s">
        <v>105</v>
      </c>
      <c r="J34" s="64"/>
      <c r="K34" s="194">
        <f>[15]Auswertung!L198</f>
        <v>8.03297074812683</v>
      </c>
      <c r="L34" s="114" t="s">
        <v>59</v>
      </c>
      <c r="M34" s="843" t="s">
        <v>418</v>
      </c>
      <c r="N34" s="156" t="s">
        <v>380</v>
      </c>
    </row>
    <row r="35" ht="15" customHeight="1" spans="1:14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94">
        <f>[15]Auswertung!M198</f>
        <v>76.1327649148762</v>
      </c>
      <c r="L35" s="114" t="s">
        <v>59</v>
      </c>
      <c r="M35" s="843" t="s">
        <v>418</v>
      </c>
      <c r="N35" s="156" t="s">
        <v>380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70"/>
      <c r="L36" s="167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110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61</v>
      </c>
      <c r="E39" s="64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f>[15]Temp_Gaszus!M20</f>
        <v>51.9835185185185</v>
      </c>
    </row>
    <row r="41" ht="15" customHeight="1" spans="1:12">
      <c r="A41" s="157"/>
      <c r="B41" s="86"/>
      <c r="C41" s="77"/>
      <c r="D41" s="67" t="s">
        <v>419</v>
      </c>
      <c r="E41" s="67"/>
      <c r="F41" s="67"/>
      <c r="G41" s="67"/>
      <c r="H41" s="67"/>
      <c r="I41" s="66"/>
      <c r="J41" s="64" t="s">
        <v>113</v>
      </c>
      <c r="K41" s="78" t="s">
        <v>116</v>
      </c>
      <c r="L41" s="879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78" t="s">
        <v>120</v>
      </c>
      <c r="L42" s="879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600</v>
      </c>
      <c r="E43" s="77"/>
      <c r="F43" s="77"/>
      <c r="G43" s="78"/>
      <c r="H43" s="102"/>
      <c r="I43" s="66"/>
      <c r="J43" s="64" t="s">
        <v>123</v>
      </c>
      <c r="K43" s="172" t="s">
        <v>124</v>
      </c>
      <c r="L43" s="103">
        <f>[15]Temp_Gaszus!O20</f>
        <v>61.4185185185185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587.294117647059</v>
      </c>
      <c r="E44" s="77"/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f>'[15]Tabellen für Auswertung'!Q89</f>
        <v>42.5</v>
      </c>
      <c r="E45" s="78"/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f>'[15]Tabellen für Auswertung'!T89</f>
        <v>41.6</v>
      </c>
      <c r="E46" s="78"/>
      <c r="F46" s="78"/>
      <c r="G46" s="78"/>
      <c r="H46" s="102"/>
      <c r="I46" s="66"/>
      <c r="J46" s="64" t="s">
        <v>131</v>
      </c>
      <c r="K46" s="77">
        <f>[15]Auswertung!Q156/'[15]Tabellen für Auswertung'!I16</f>
        <v>146.777564069271</v>
      </c>
      <c r="L46" s="174">
        <f>K46*L40/100</f>
        <v>76.3001421989798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7">
        <f>K46/(K24/100*K25/100)</f>
        <v>708.018410314815</v>
      </c>
      <c r="L47" s="174">
        <f>L46/(K24/100*K25/100)</f>
        <v>368.052881440523</v>
      </c>
    </row>
    <row r="48" ht="15" customHeight="1" spans="1:13">
      <c r="A48" s="157"/>
      <c r="B48" s="66" t="s">
        <v>135</v>
      </c>
      <c r="C48" s="64" t="s">
        <v>240</v>
      </c>
      <c r="D48" s="69">
        <f>'[15]02 BGA Schwemsal Betr.Tageb.'!P13</f>
        <v>8498</v>
      </c>
      <c r="E48" s="69"/>
      <c r="F48" s="78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'[15]Tabellen für Auswertung'!N50/D43</f>
        <v>8331.35666666667</v>
      </c>
      <c r="E49" s="69"/>
      <c r="F49" s="78"/>
      <c r="G49" s="69"/>
      <c r="H49" s="98"/>
      <c r="I49" s="66"/>
      <c r="J49" s="64" t="s">
        <v>139</v>
      </c>
      <c r="K49" s="69">
        <f>'[15]Tabellen für Auswertung'!Q50/365</f>
        <v>13695.3808219178</v>
      </c>
      <c r="L49" s="98"/>
    </row>
    <row r="50" ht="15" customHeight="1" spans="1:20">
      <c r="A50" s="157"/>
      <c r="B50" s="57" t="s">
        <v>140</v>
      </c>
      <c r="C50" s="64" t="s">
        <v>59</v>
      </c>
      <c r="D50" s="75" t="e">
        <f>'[15]Tabellen für Auswertung'!N50/('[16]BGA 10_Datenblatt'!D43*8760)*100</f>
        <v>#REF!</v>
      </c>
      <c r="E50" s="189"/>
      <c r="F50" s="78"/>
      <c r="G50" s="78"/>
      <c r="H50" s="102"/>
      <c r="I50" s="66"/>
      <c r="J50" s="64" t="s">
        <v>141</v>
      </c>
      <c r="K50" s="69">
        <f>'[15]Tabellen für Auswertung'!Q50/'[15]Tabellen für Auswertung'!I16</f>
        <v>275.200228140064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f>'[15]Tabellen für Auswertung'!N84</f>
        <v>334844.767439382</v>
      </c>
      <c r="D55" s="594">
        <v>7</v>
      </c>
      <c r="E55" s="111" t="s">
        <v>147</v>
      </c>
      <c r="F55" s="64"/>
      <c r="G55" s="64" t="s">
        <v>381</v>
      </c>
      <c r="H55" s="64"/>
      <c r="I55" s="69">
        <f>'[15]02 BGA Schwemsal Betr.Tageb.'!P67*1000</f>
        <v>159832.9</v>
      </c>
      <c r="J55" s="594">
        <f>(I55/'[15]Tabellen für Auswertung'!Q118)*100</f>
        <v>3.26659130180294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257</v>
      </c>
      <c r="H56" s="64"/>
      <c r="I56" s="69">
        <f>'[15]Tabellen für Auswertung'!O135</f>
        <v>3531000</v>
      </c>
      <c r="J56" s="594">
        <f>(I56/'[15]Tabellen für Auswertung'!Q118)*100</f>
        <v>72.1649540655659</v>
      </c>
      <c r="K56" s="111" t="s">
        <v>149</v>
      </c>
      <c r="L56" s="114"/>
    </row>
    <row r="57" ht="15" customHeight="1" spans="1:12">
      <c r="A57" s="157"/>
      <c r="B57" s="81"/>
      <c r="C57" s="94"/>
      <c r="D57" s="94"/>
      <c r="E57" s="94"/>
      <c r="F57" s="94"/>
      <c r="G57" s="94"/>
      <c r="H57" s="94"/>
      <c r="I57" s="89"/>
      <c r="J57" s="842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1">
    <mergeCell ref="B2:L2"/>
  </mergeCells>
  <pageMargins left="0.236220472440945" right="0.236220472440945" top="0.748031496062992" bottom="0.748031496062992" header="0.31496062992126" footer="0.31496062992126"/>
  <pageSetup paperSize="9" scale="44" orientation="portrait"/>
  <headerFooter/>
  <ignoredErrors>
    <ignoredError sqref="C5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2:X75"/>
  <sheetViews>
    <sheetView zoomScale="115" zoomScaleNormal="115" topLeftCell="A9" workbookViewId="0">
      <selection activeCell="A1" sqref="A1"/>
    </sheetView>
  </sheetViews>
  <sheetFormatPr defaultColWidth="11.5" defaultRowHeight="16.8"/>
  <cols>
    <col min="2" max="2" width="10.6634615384615" customWidth="1"/>
    <col min="3" max="3" width="12.5" customWidth="1"/>
    <col min="4" max="4" width="13.5" customWidth="1"/>
    <col min="5" max="5" width="12.5" customWidth="1"/>
    <col min="6" max="6" width="13.5" customWidth="1"/>
    <col min="7" max="7" width="12.5" customWidth="1"/>
    <col min="8" max="8" width="13.5" customWidth="1"/>
    <col min="9" max="9" width="10" customWidth="1"/>
    <col min="10" max="10" width="17.5" customWidth="1"/>
  </cols>
  <sheetData>
    <row r="2" spans="1:11">
      <c r="A2" t="s">
        <v>154</v>
      </c>
      <c r="C2" t="s">
        <v>372</v>
      </c>
      <c r="E2" t="s">
        <v>157</v>
      </c>
      <c r="F2" t="s">
        <v>58</v>
      </c>
      <c r="G2" t="s">
        <v>155</v>
      </c>
      <c r="H2" t="s">
        <v>155</v>
      </c>
      <c r="I2" t="s">
        <v>384</v>
      </c>
      <c r="J2" t="s">
        <v>385</v>
      </c>
      <c r="K2" t="s">
        <v>386</v>
      </c>
    </row>
    <row r="3" spans="1:24">
      <c r="A3" s="228">
        <f>[12]Auswertung!K3</f>
        <v>0</v>
      </c>
      <c r="B3" s="228" t="str">
        <f>[12]Auswertung!L3</f>
        <v>[%]</v>
      </c>
      <c r="C3" s="228" t="str">
        <f>[12]Auswertung!M3</f>
        <v>[%]</v>
      </c>
      <c r="D3" s="228"/>
      <c r="E3" s="228" t="str">
        <f>[12]Auswertung!O3</f>
        <v>[%]</v>
      </c>
      <c r="F3" s="228" t="str">
        <f>[12]Auswertung!P3</f>
        <v>[%]</v>
      </c>
      <c r="G3" s="228" t="str">
        <f>[12]Auswertung!Q3</f>
        <v>[%]</v>
      </c>
      <c r="H3" s="228" t="str">
        <f>[12]Auswertung!R3</f>
        <v>[%]</v>
      </c>
      <c r="I3" s="228" t="str">
        <f>[12]Auswertung!U3</f>
        <v>[%]</v>
      </c>
      <c r="J3" s="228" t="str">
        <f>[12]Auswertung!S3</f>
        <v>[t/d]</v>
      </c>
      <c r="K3" s="228"/>
      <c r="X3" s="579"/>
    </row>
    <row r="4" spans="1:11">
      <c r="A4" s="245">
        <f>[12]Auswertung!K4</f>
        <v>42614</v>
      </c>
      <c r="B4" s="191"/>
      <c r="C4" s="833">
        <f>[15]Auswertung!M4</f>
        <v>2.86918667402202</v>
      </c>
      <c r="D4" s="191"/>
      <c r="E4" s="833">
        <f>[15]Auswertung!O4</f>
        <v>0.838270213225242</v>
      </c>
      <c r="F4" s="833">
        <f>[15]Auswertung!P4</f>
        <v>45.550212265848</v>
      </c>
      <c r="G4" s="833">
        <f>[15]Auswertung!Q4</f>
        <v>0</v>
      </c>
      <c r="H4" s="833">
        <f>[15]Auswertung!R4</f>
        <v>50.6679778380064</v>
      </c>
      <c r="I4" s="839">
        <f>[15]Auswertung!U4</f>
        <v>0.0743530088983762</v>
      </c>
      <c r="J4" s="840">
        <f>[15]Auswertung!S4</f>
        <v>55.5906666666667</v>
      </c>
      <c r="K4" s="203">
        <f t="shared" ref="K4:K15" si="0">SUM(B4:I4)</f>
        <v>100</v>
      </c>
    </row>
    <row r="5" spans="1:11">
      <c r="A5" s="245">
        <f>[12]Auswertung!K5</f>
        <v>42644</v>
      </c>
      <c r="B5" s="191"/>
      <c r="C5" s="833">
        <f>[15]Auswertung!M5</f>
        <v>2.5749647501175</v>
      </c>
      <c r="D5" s="191"/>
      <c r="E5" s="833">
        <f>[15]Auswertung!O5</f>
        <v>0</v>
      </c>
      <c r="F5" s="833">
        <f>[15]Auswertung!P5</f>
        <v>47.9034936550211</v>
      </c>
      <c r="G5" s="833">
        <f>[15]Auswertung!Q5</f>
        <v>0</v>
      </c>
      <c r="H5" s="833">
        <f>[15]Auswertung!R5</f>
        <v>49.443835187216</v>
      </c>
      <c r="I5" s="833">
        <f>[15]Auswertung!U5</f>
        <v>0.0777064076453078</v>
      </c>
      <c r="J5" s="840">
        <f>[15]Auswertung!S5</f>
        <v>51.4758064516129</v>
      </c>
      <c r="K5" s="203">
        <f t="shared" si="0"/>
        <v>100</v>
      </c>
    </row>
    <row r="6" spans="1:11">
      <c r="A6" s="245">
        <f>[12]Auswertung!K6</f>
        <v>42675</v>
      </c>
      <c r="B6" s="191"/>
      <c r="C6" s="833">
        <f>[15]Auswertung!M6</f>
        <v>1.90806876136341</v>
      </c>
      <c r="D6" s="191"/>
      <c r="E6" s="833">
        <f>[15]Auswertung!O6</f>
        <v>0.723320184046261</v>
      </c>
      <c r="F6" s="833">
        <f>[15]Auswertung!P6</f>
        <v>39.2286335024581</v>
      </c>
      <c r="G6" s="833">
        <f>[15]Auswertung!Q6</f>
        <v>2.98911081501513</v>
      </c>
      <c r="H6" s="833">
        <f>[15]Auswertung!R6</f>
        <v>55.0694768071518</v>
      </c>
      <c r="I6" s="833">
        <f>[15]Auswertung!U6</f>
        <v>0.081389929965278</v>
      </c>
      <c r="J6" s="840">
        <f>[15]Auswertung!S6</f>
        <v>50.7843333333333</v>
      </c>
      <c r="K6" s="203">
        <f t="shared" si="0"/>
        <v>100</v>
      </c>
    </row>
    <row r="7" spans="1:11">
      <c r="A7" s="245">
        <f>[12]Auswertung!K7</f>
        <v>42705</v>
      </c>
      <c r="B7" s="191"/>
      <c r="C7" s="833">
        <f>[15]Auswertung!M7</f>
        <v>1.27645187776421</v>
      </c>
      <c r="D7" s="191"/>
      <c r="E7" s="833">
        <f>[15]Auswertung!O7</f>
        <v>0.531279970745103</v>
      </c>
      <c r="F7" s="833">
        <f>[15]Auswertung!P7</f>
        <v>39.1380844942146</v>
      </c>
      <c r="G7" s="833">
        <f>[15]Auswertung!Q7</f>
        <v>5.08165842147751</v>
      </c>
      <c r="H7" s="833">
        <f>[15]Auswertung!R7</f>
        <v>53.886968461289</v>
      </c>
      <c r="I7" s="833">
        <f>[15]Auswertung!U7</f>
        <v>0.085556774509601</v>
      </c>
      <c r="J7" s="840">
        <f>[15]Auswertung!S7</f>
        <v>46.7525806451613</v>
      </c>
      <c r="K7" s="203">
        <f t="shared" si="0"/>
        <v>100</v>
      </c>
    </row>
    <row r="8" spans="1:11">
      <c r="A8" s="245">
        <f>[12]Auswertung!K8</f>
        <v>42736</v>
      </c>
      <c r="B8" s="191"/>
      <c r="C8" s="833">
        <f>[15]Auswertung!M8</f>
        <v>0.81525164012179</v>
      </c>
      <c r="D8" s="191"/>
      <c r="E8" s="833">
        <f>[15]Auswertung!O8</f>
        <v>0.769480799464017</v>
      </c>
      <c r="F8" s="833">
        <f>[15]Auswertung!P8</f>
        <v>38.4395460063283</v>
      </c>
      <c r="G8" s="833">
        <f>[15]Auswertung!Q8</f>
        <v>5.63180343745647</v>
      </c>
      <c r="H8" s="833">
        <f>[15]Auswertung!R8</f>
        <v>54.2616632725488</v>
      </c>
      <c r="I8" s="833">
        <f>[15]Auswertung!U8</f>
        <v>0.0822548440806363</v>
      </c>
      <c r="J8" s="840">
        <f>[15]Auswertung!S8</f>
        <v>48.6293548387097</v>
      </c>
      <c r="K8" s="203">
        <f t="shared" si="0"/>
        <v>100</v>
      </c>
    </row>
    <row r="9" spans="1:11">
      <c r="A9" s="245">
        <f>[12]Auswertung!K9</f>
        <v>42767</v>
      </c>
      <c r="B9" s="191"/>
      <c r="C9" s="833">
        <f>[15]Auswertung!M9</f>
        <v>1.08408873166777</v>
      </c>
      <c r="D9" s="191"/>
      <c r="E9" s="833">
        <f>[15]Auswertung!O9</f>
        <v>0.689070675805144</v>
      </c>
      <c r="F9" s="833">
        <f>[15]Auswertung!P9</f>
        <v>37.3866902498342</v>
      </c>
      <c r="G9" s="833">
        <f>[15]Auswertung!Q9</f>
        <v>5.47571670720024</v>
      </c>
      <c r="H9" s="833">
        <f>[15]Auswertung!R9</f>
        <v>55.2730488613752</v>
      </c>
      <c r="I9" s="833">
        <f>[15]Auswertung!U9</f>
        <v>0.0913847741174737</v>
      </c>
      <c r="J9" s="840">
        <f>[15]Auswertung!S9</f>
        <v>48.4607142857143</v>
      </c>
      <c r="K9" s="203">
        <f t="shared" si="0"/>
        <v>100</v>
      </c>
    </row>
    <row r="10" spans="1:11">
      <c r="A10" s="245">
        <f>[12]Auswertung!K10</f>
        <v>42795</v>
      </c>
      <c r="B10" s="191"/>
      <c r="C10" s="833">
        <f>[15]Auswertung!M10</f>
        <v>1.16222184025069</v>
      </c>
      <c r="D10" s="191"/>
      <c r="E10" s="833">
        <f>[15]Auswertung!O10</f>
        <v>0.773492351020084</v>
      </c>
      <c r="F10" s="833">
        <f>[15]Auswertung!P10</f>
        <v>39.2828337586439</v>
      </c>
      <c r="G10" s="833">
        <f>[15]Auswertung!Q10</f>
        <v>4.29056868215414</v>
      </c>
      <c r="H10" s="833">
        <f>[15]Auswertung!R10</f>
        <v>54.4089064008145</v>
      </c>
      <c r="I10" s="833">
        <f>[15]Auswertung!U10</f>
        <v>0.0819769671166585</v>
      </c>
      <c r="J10" s="840">
        <f>[15]Auswertung!S10</f>
        <v>48.7941935483871</v>
      </c>
      <c r="K10" s="203">
        <f t="shared" si="0"/>
        <v>100</v>
      </c>
    </row>
    <row r="11" spans="1:11">
      <c r="A11" s="245">
        <f>[12]Auswertung!K11</f>
        <v>42826</v>
      </c>
      <c r="B11" s="191"/>
      <c r="C11" s="833">
        <f>[15]Auswertung!M11</f>
        <v>1.4639924404754</v>
      </c>
      <c r="D11" s="191"/>
      <c r="E11" s="833">
        <f>[15]Auswertung!O11</f>
        <v>1.330902218614</v>
      </c>
      <c r="F11" s="833">
        <f>[15]Auswertung!P11</f>
        <v>42.5755619734618</v>
      </c>
      <c r="G11" s="833">
        <f>[15]Auswertung!Q11</f>
        <v>3.17420179139439</v>
      </c>
      <c r="H11" s="833">
        <f>[15]Auswertung!R11</f>
        <v>51.3728256385003</v>
      </c>
      <c r="I11" s="833">
        <f>[15]Auswertung!U11</f>
        <v>0.0825159375540679</v>
      </c>
      <c r="J11" s="840">
        <f>[15]Auswertung!S11</f>
        <v>50.0913333333333</v>
      </c>
      <c r="K11" s="203">
        <f t="shared" si="0"/>
        <v>100</v>
      </c>
    </row>
    <row r="12" spans="1:11">
      <c r="A12" s="245">
        <f>[12]Auswertung!K12</f>
        <v>42856</v>
      </c>
      <c r="B12" s="191"/>
      <c r="C12" s="833">
        <f>[15]Auswertung!M12</f>
        <v>1.39803258686866</v>
      </c>
      <c r="D12" s="191"/>
      <c r="E12" s="833">
        <f>[15]Auswertung!O12</f>
        <v>1.03581505299814</v>
      </c>
      <c r="F12" s="833">
        <f>[15]Auswertung!P12</f>
        <v>41.7439821051829</v>
      </c>
      <c r="G12" s="833">
        <f>[15]Auswertung!Q12</f>
        <v>3.88907246892555</v>
      </c>
      <c r="H12" s="833">
        <f>[15]Auswertung!R12</f>
        <v>51.854299585674</v>
      </c>
      <c r="I12" s="833">
        <f>[15]Auswertung!U12</f>
        <v>0.0787982003507791</v>
      </c>
      <c r="J12" s="840">
        <f>[15]Auswertung!S12</f>
        <v>50.7625806451613</v>
      </c>
      <c r="K12" s="203">
        <f t="shared" si="0"/>
        <v>100</v>
      </c>
    </row>
    <row r="13" spans="1:11">
      <c r="A13" s="245">
        <f>[12]Auswertung!K13</f>
        <v>42887</v>
      </c>
      <c r="B13" s="191"/>
      <c r="C13" s="833">
        <f>[15]Auswertung!M13</f>
        <v>2.13467753734023</v>
      </c>
      <c r="D13" s="191"/>
      <c r="E13" s="833">
        <f>[15]Auswertung!O13</f>
        <v>1.66252144652666</v>
      </c>
      <c r="F13" s="833">
        <f>[15]Auswertung!P13</f>
        <v>38.6236982457074</v>
      </c>
      <c r="G13" s="833">
        <f>[15]Auswertung!Q13</f>
        <v>4.62845970713022</v>
      </c>
      <c r="H13" s="833">
        <f>[15]Auswertung!R13</f>
        <v>52.8681819995478</v>
      </c>
      <c r="I13" s="833">
        <f>[15]Auswertung!U13</f>
        <v>0.0824610637477223</v>
      </c>
      <c r="J13" s="840">
        <f>[15]Auswertung!S13</f>
        <v>50.1246666666667</v>
      </c>
      <c r="K13" s="203">
        <f t="shared" si="0"/>
        <v>100</v>
      </c>
    </row>
    <row r="14" spans="1:11">
      <c r="A14" s="245">
        <f>[12]Auswertung!K14</f>
        <v>42917</v>
      </c>
      <c r="B14" s="191"/>
      <c r="C14" s="833">
        <f>[15]Auswertung!M14</f>
        <v>1.23110723891056</v>
      </c>
      <c r="D14" s="191"/>
      <c r="E14" s="833">
        <f>[15]Auswertung!O14</f>
        <v>1.71092339356289</v>
      </c>
      <c r="F14" s="833">
        <f>[15]Auswertung!P14</f>
        <v>36.4849678649444</v>
      </c>
      <c r="G14" s="833">
        <f>[15]Auswertung!Q14</f>
        <v>5.12645681023271</v>
      </c>
      <c r="H14" s="833">
        <f>[15]Auswertung!R14</f>
        <v>55.3682588986957</v>
      </c>
      <c r="I14" s="833">
        <f>[15]Auswertung!U14</f>
        <v>0.0782857936538</v>
      </c>
      <c r="J14" s="840">
        <f>[15]Auswertung!S14</f>
        <v>51.0948387096774</v>
      </c>
      <c r="K14" s="203">
        <f t="shared" si="0"/>
        <v>100</v>
      </c>
    </row>
    <row r="15" spans="1:11">
      <c r="A15" s="246">
        <f>[12]Auswertung!K15</f>
        <v>42948</v>
      </c>
      <c r="B15" s="247"/>
      <c r="C15" s="833">
        <f>[15]Auswertung!M15</f>
        <v>1.1378715025611</v>
      </c>
      <c r="D15" s="247"/>
      <c r="E15" s="833">
        <f>[15]Auswertung!O15</f>
        <v>3.77031403826673</v>
      </c>
      <c r="F15" s="833">
        <f>[15]Auswertung!P15</f>
        <v>43.5102087405653</v>
      </c>
      <c r="G15" s="833">
        <f>[15]Auswertung!Q15</f>
        <v>1.84056957781044</v>
      </c>
      <c r="H15" s="833">
        <f>[15]Auswertung!R15</f>
        <v>49.6525746572118</v>
      </c>
      <c r="I15" s="833">
        <f>[15]Auswertung!U15</f>
        <v>0.0884614835846876</v>
      </c>
      <c r="J15" s="840">
        <f>[15]Auswertung!S15</f>
        <v>45.2174193548387</v>
      </c>
      <c r="K15" s="259">
        <f t="shared" si="0"/>
        <v>100</v>
      </c>
    </row>
    <row r="16" ht="17.55" spans="1:11">
      <c r="A16" t="str">
        <f>[12]Auswertung!K16</f>
        <v>Jahresmenge</v>
      </c>
      <c r="B16" s="191"/>
      <c r="C16" s="834">
        <f>[15]Auswertung!M16</f>
        <v>1.61107404202093</v>
      </c>
      <c r="D16" s="191"/>
      <c r="E16" s="834">
        <f>[15]Auswertung!O16</f>
        <v>1.13739713327476</v>
      </c>
      <c r="F16" s="834">
        <f>[15]Auswertung!P16</f>
        <v>40.9333593183985</v>
      </c>
      <c r="G16" s="834">
        <f>[15]Auswertung!Q16</f>
        <v>3.46168414052195</v>
      </c>
      <c r="H16" s="834">
        <f>[15]Auswertung!$R$16</f>
        <v>52.8564853657838</v>
      </c>
      <c r="I16" s="834">
        <f>[15]Auswertung!U16</f>
        <v>0.0409427395975725</v>
      </c>
      <c r="J16" s="841">
        <f>[15]Auswertung!S16</f>
        <v>100.279461239119</v>
      </c>
      <c r="K16" s="203">
        <f>AVERAGE(K4:K15)</f>
        <v>100</v>
      </c>
    </row>
    <row r="17" ht="17.55"/>
    <row r="22" spans="3:5">
      <c r="C22" s="824" t="s">
        <v>104</v>
      </c>
      <c r="D22" s="825" t="s">
        <v>259</v>
      </c>
      <c r="E22" s="825" t="s">
        <v>178</v>
      </c>
    </row>
    <row r="23" ht="34" spans="2:5">
      <c r="B23" s="219"/>
      <c r="C23" s="825"/>
      <c r="D23" s="553" t="s">
        <v>388</v>
      </c>
      <c r="E23" s="569" t="s">
        <v>388</v>
      </c>
    </row>
    <row r="24" spans="2:5">
      <c r="B24" s="219"/>
      <c r="C24" s="826"/>
      <c r="D24" s="555" t="s">
        <v>389</v>
      </c>
      <c r="E24" s="570" t="s">
        <v>389</v>
      </c>
    </row>
    <row r="25" spans="3:5">
      <c r="C25" s="827">
        <v>42614</v>
      </c>
      <c r="D25" s="835">
        <v>0.123062578502516</v>
      </c>
      <c r="E25" s="835">
        <f>[15]Auswertung!S203</f>
        <v>0.117980060188603</v>
      </c>
    </row>
    <row r="26" spans="3:5">
      <c r="C26" s="828">
        <v>42644</v>
      </c>
      <c r="D26" s="835">
        <v>0.11858849496757</v>
      </c>
      <c r="E26" s="835">
        <f>[15]Auswertung!S204</f>
        <v>0.123117977791865</v>
      </c>
    </row>
    <row r="27" spans="3:5">
      <c r="C27" s="828">
        <v>42675</v>
      </c>
      <c r="D27" s="835">
        <v>0.131085398169571</v>
      </c>
      <c r="E27" s="835">
        <f>[15]Auswertung!S205</f>
        <v>0.123526409951457</v>
      </c>
    </row>
    <row r="28" spans="3:5">
      <c r="C28" s="828">
        <v>42705</v>
      </c>
      <c r="D28" s="835">
        <v>0.12781070404654</v>
      </c>
      <c r="E28" s="835">
        <f>[15]Auswertung!S206</f>
        <v>0.130617902442991</v>
      </c>
    </row>
    <row r="29" spans="3:5">
      <c r="C29" s="828">
        <v>42736</v>
      </c>
      <c r="D29" s="835">
        <v>0.141977846056206</v>
      </c>
      <c r="E29" s="835">
        <f>[15]Auswertung!S207</f>
        <v>0.141815690526286</v>
      </c>
    </row>
    <row r="30" spans="3:5">
      <c r="C30" s="828">
        <v>42767</v>
      </c>
      <c r="D30" s="835">
        <v>0.163418611594864</v>
      </c>
      <c r="E30" s="835">
        <f>[15]Auswertung!S208</f>
        <v>0.171001010873191</v>
      </c>
    </row>
    <row r="31" spans="3:5">
      <c r="C31" s="828">
        <v>42795</v>
      </c>
      <c r="D31" s="835">
        <v>0.137044565999123</v>
      </c>
      <c r="E31" s="835">
        <f>[15]Auswertung!S209</f>
        <v>0.136282598163498</v>
      </c>
    </row>
    <row r="32" spans="3:5">
      <c r="C32" s="828">
        <v>42826</v>
      </c>
      <c r="D32" s="835">
        <v>0.121435841922405</v>
      </c>
      <c r="E32" s="835">
        <f>[15]Auswertung!S210</f>
        <v>0.124884679533525</v>
      </c>
    </row>
    <row r="33" spans="3:5">
      <c r="C33" s="828">
        <v>42856</v>
      </c>
      <c r="D33" s="835">
        <v>0.120706906679778</v>
      </c>
      <c r="E33" s="835">
        <f>[15]Auswertung!S211</f>
        <v>0.123996780268304</v>
      </c>
    </row>
    <row r="34" spans="3:5">
      <c r="C34" s="828">
        <v>42887</v>
      </c>
      <c r="D34" s="835">
        <v>0.128251362414221</v>
      </c>
      <c r="E34" s="835">
        <f>[15]Auswertung!S212</f>
        <v>0.124287293138255</v>
      </c>
    </row>
    <row r="35" spans="3:5">
      <c r="C35" s="828">
        <v>42917</v>
      </c>
      <c r="D35" s="835">
        <v>0.139274844408584</v>
      </c>
      <c r="E35" s="835">
        <f>[15]Auswertung!S213</f>
        <v>0.139425257493278</v>
      </c>
    </row>
    <row r="36" spans="3:5">
      <c r="C36" s="829">
        <v>42948</v>
      </c>
      <c r="D36" s="836">
        <v>0.0964589338419742</v>
      </c>
      <c r="E36" s="836">
        <f>[15]Auswertung!S214</f>
        <v>0.141595409052873</v>
      </c>
    </row>
    <row r="37" ht="17.55" spans="3:5">
      <c r="C37" s="562" t="s">
        <v>390</v>
      </c>
      <c r="D37" s="837">
        <f>AVERAGE(D25:D36)</f>
        <v>0.129093007383613</v>
      </c>
      <c r="E37" s="838">
        <f>AVERAGE(E25:E36)</f>
        <v>0.13321092245201</v>
      </c>
    </row>
    <row r="38" ht="17.55"/>
    <row r="54" ht="30.25" customHeight="1" spans="2:12">
      <c r="B54" s="48" t="s">
        <v>391</v>
      </c>
      <c r="C54" s="48" t="s">
        <v>391</v>
      </c>
      <c r="K54" s="218" t="s">
        <v>420</v>
      </c>
      <c r="L54" s="218"/>
    </row>
    <row r="55" ht="84" spans="2:14">
      <c r="B55" s="48" t="s">
        <v>393</v>
      </c>
      <c r="C55" s="48" t="s">
        <v>394</v>
      </c>
      <c r="D55" s="48" t="s">
        <v>395</v>
      </c>
      <c r="E55" s="48" t="s">
        <v>396</v>
      </c>
      <c r="F55" s="48" t="s">
        <v>183</v>
      </c>
      <c r="G55" s="48" t="s">
        <v>184</v>
      </c>
      <c r="H55" s="48" t="s">
        <v>397</v>
      </c>
      <c r="I55" s="48" t="s">
        <v>398</v>
      </c>
      <c r="J55" s="48" t="s">
        <v>399</v>
      </c>
      <c r="K55" s="48" t="s">
        <v>400</v>
      </c>
      <c r="L55" s="48" t="s">
        <v>401</v>
      </c>
      <c r="M55" s="48"/>
      <c r="N55" s="48"/>
    </row>
    <row r="56" ht="34" spans="1:24">
      <c r="A56" s="228" t="s">
        <v>154</v>
      </c>
      <c r="B56" s="760" t="s">
        <v>185</v>
      </c>
      <c r="C56" s="760" t="s">
        <v>185</v>
      </c>
      <c r="D56" s="760" t="s">
        <v>185</v>
      </c>
      <c r="E56" s="760" t="s">
        <v>185</v>
      </c>
      <c r="F56" s="760" t="s">
        <v>59</v>
      </c>
      <c r="G56" s="760" t="s">
        <v>402</v>
      </c>
      <c r="H56" s="760" t="s">
        <v>185</v>
      </c>
      <c r="I56" s="760" t="s">
        <v>403</v>
      </c>
      <c r="J56" s="760" t="s">
        <v>404</v>
      </c>
      <c r="K56" s="760" t="s">
        <v>122</v>
      </c>
      <c r="L56" s="760" t="s">
        <v>122</v>
      </c>
      <c r="M56" s="48"/>
      <c r="N56" s="48"/>
      <c r="X56" s="579"/>
    </row>
    <row r="57" spans="1:12">
      <c r="A57" s="245">
        <f t="shared" ref="A57:A68" si="1">C25</f>
        <v>42614</v>
      </c>
      <c r="B57" s="251">
        <f>[15]Biogas_Nm!E9</f>
        <v>376297.38</v>
      </c>
      <c r="C57" s="251">
        <f t="shared" ref="C57:C68" si="2">B57/(L57/K57)</f>
        <v>383976.918367347</v>
      </c>
      <c r="D57" s="199">
        <f>'[15]Tabellen für Auswertung'!Q123</f>
        <v>279042.899999999</v>
      </c>
      <c r="E57" s="251" t="s">
        <v>405</v>
      </c>
      <c r="F57" s="689">
        <f t="shared" ref="F57:F68" si="3">B57/K57/J57*100</f>
        <v>87.1058750000001</v>
      </c>
      <c r="G57" s="689">
        <f t="shared" ref="G57:G68" si="4">D57/L57/J57*100</f>
        <v>65.9114937641722</v>
      </c>
      <c r="H57" t="e">
        <f t="shared" ref="H57:H68" si="5">E57/L57/J57</f>
        <v>#VALUE!</v>
      </c>
      <c r="I57">
        <v>30</v>
      </c>
      <c r="J57">
        <f t="shared" ref="J57:J68" si="6">I57*24</f>
        <v>720</v>
      </c>
      <c r="K57" s="199">
        <v>600</v>
      </c>
      <c r="L57" s="199">
        <v>588</v>
      </c>
    </row>
    <row r="58" spans="1:12">
      <c r="A58" s="245">
        <f t="shared" si="1"/>
        <v>42644</v>
      </c>
      <c r="B58" s="251">
        <f>[15]Biogas_Nm!E10</f>
        <v>433762.752</v>
      </c>
      <c r="C58" s="251">
        <f t="shared" si="2"/>
        <v>442615.053061225</v>
      </c>
      <c r="D58" s="199">
        <f>'[15]Tabellen für Auswertung'!Q124</f>
        <v>330460</v>
      </c>
      <c r="E58" s="251" t="s">
        <v>405</v>
      </c>
      <c r="F58" s="689">
        <f t="shared" si="3"/>
        <v>97.1690752688172</v>
      </c>
      <c r="G58" s="689">
        <f t="shared" si="4"/>
        <v>75.5385487528346</v>
      </c>
      <c r="H58" t="e">
        <f t="shared" si="5"/>
        <v>#VALUE!</v>
      </c>
      <c r="I58">
        <v>31</v>
      </c>
      <c r="J58">
        <f t="shared" si="6"/>
        <v>744</v>
      </c>
      <c r="K58" s="199">
        <v>600</v>
      </c>
      <c r="L58" s="199">
        <v>588</v>
      </c>
    </row>
    <row r="59" spans="1:12">
      <c r="A59" s="245">
        <f t="shared" si="1"/>
        <v>42675</v>
      </c>
      <c r="B59" s="251">
        <f>[15]Biogas_Nm!E11</f>
        <v>427583.795999999</v>
      </c>
      <c r="C59" s="251">
        <f t="shared" si="2"/>
        <v>436309.995918367</v>
      </c>
      <c r="D59" s="199">
        <f>'[15]Tabellen für Auswertung'!Q125</f>
        <v>323740</v>
      </c>
      <c r="E59" s="251" t="s">
        <v>405</v>
      </c>
      <c r="F59" s="689">
        <f t="shared" si="3"/>
        <v>98.9777305555554</v>
      </c>
      <c r="G59" s="689">
        <f t="shared" si="4"/>
        <v>76.4691987906274</v>
      </c>
      <c r="H59" t="e">
        <f t="shared" si="5"/>
        <v>#VALUE!</v>
      </c>
      <c r="I59">
        <v>30</v>
      </c>
      <c r="J59">
        <f t="shared" si="6"/>
        <v>720</v>
      </c>
      <c r="K59" s="199">
        <v>600</v>
      </c>
      <c r="L59" s="199">
        <v>588</v>
      </c>
    </row>
    <row r="60" spans="1:12">
      <c r="A60" s="245">
        <f t="shared" si="1"/>
        <v>42705</v>
      </c>
      <c r="B60" s="251">
        <f>[15]Biogas_Nm!E12</f>
        <v>445861.584000001</v>
      </c>
      <c r="C60" s="251">
        <f t="shared" si="2"/>
        <v>454960.800000001</v>
      </c>
      <c r="D60" s="199">
        <f>'[15]Tabellen für Auswertung'!Q126</f>
        <v>331550</v>
      </c>
      <c r="E60" s="251" t="s">
        <v>405</v>
      </c>
      <c r="F60" s="689">
        <f t="shared" si="3"/>
        <v>99.8793870967744</v>
      </c>
      <c r="G60" s="689">
        <f t="shared" si="4"/>
        <v>75.7877075561408</v>
      </c>
      <c r="H60" t="e">
        <f t="shared" si="5"/>
        <v>#VALUE!</v>
      </c>
      <c r="I60">
        <v>31</v>
      </c>
      <c r="J60">
        <f t="shared" si="6"/>
        <v>744</v>
      </c>
      <c r="K60" s="199">
        <v>600</v>
      </c>
      <c r="L60" s="199">
        <v>588</v>
      </c>
    </row>
    <row r="61" spans="1:12">
      <c r="A61" s="245">
        <f t="shared" si="1"/>
        <v>42736</v>
      </c>
      <c r="B61" s="251">
        <f>[15]Biogas_Nm!E13</f>
        <v>447795.095999999</v>
      </c>
      <c r="C61" s="251">
        <f t="shared" si="2"/>
        <v>456933.77142857</v>
      </c>
      <c r="D61" s="199">
        <f>'[15]Tabellen für Auswertung'!Q127</f>
        <v>307179.999999999</v>
      </c>
      <c r="E61" s="251" t="s">
        <v>405</v>
      </c>
      <c r="F61" s="689">
        <f t="shared" si="3"/>
        <v>100.312521505376</v>
      </c>
      <c r="G61" s="689">
        <f t="shared" si="4"/>
        <v>70.2170653207518</v>
      </c>
      <c r="H61" t="e">
        <f t="shared" si="5"/>
        <v>#VALUE!</v>
      </c>
      <c r="I61">
        <v>31</v>
      </c>
      <c r="J61">
        <f t="shared" si="6"/>
        <v>744</v>
      </c>
      <c r="K61" s="199">
        <v>600</v>
      </c>
      <c r="L61" s="199">
        <v>588</v>
      </c>
    </row>
    <row r="62" spans="1:12">
      <c r="A62" s="245">
        <f t="shared" si="1"/>
        <v>42767</v>
      </c>
      <c r="B62" s="251">
        <f>[15]Biogas_Nm!E14</f>
        <v>388846.236</v>
      </c>
      <c r="C62" s="251">
        <f t="shared" si="2"/>
        <v>396781.873469388</v>
      </c>
      <c r="D62" s="199">
        <f>'[15]Tabellen für Auswertung'!Q128</f>
        <v>266880</v>
      </c>
      <c r="E62" s="251" t="s">
        <v>405</v>
      </c>
      <c r="F62" s="689">
        <f t="shared" si="3"/>
        <v>96.4400386904762</v>
      </c>
      <c r="G62" s="689">
        <f t="shared" si="4"/>
        <v>67.5413022351798</v>
      </c>
      <c r="H62" t="e">
        <f t="shared" si="5"/>
        <v>#VALUE!</v>
      </c>
      <c r="I62">
        <v>28</v>
      </c>
      <c r="J62">
        <f t="shared" si="6"/>
        <v>672</v>
      </c>
      <c r="K62" s="199">
        <v>600</v>
      </c>
      <c r="L62" s="199">
        <v>588</v>
      </c>
    </row>
    <row r="63" spans="1:12">
      <c r="A63" s="245">
        <f t="shared" si="1"/>
        <v>42795</v>
      </c>
      <c r="B63" s="251">
        <f>[15]Biogas_Nm!E15</f>
        <v>448135.572</v>
      </c>
      <c r="C63" s="251">
        <f t="shared" si="2"/>
        <v>457281.195918367</v>
      </c>
      <c r="D63" s="199">
        <f>'[15]Tabellen für Auswertung'!Q129</f>
        <v>335040</v>
      </c>
      <c r="E63" s="251" t="s">
        <v>405</v>
      </c>
      <c r="F63" s="689">
        <f t="shared" si="3"/>
        <v>100.388793010753</v>
      </c>
      <c r="G63" s="689">
        <f t="shared" si="4"/>
        <v>76.585472898837</v>
      </c>
      <c r="H63" t="e">
        <f t="shared" si="5"/>
        <v>#VALUE!</v>
      </c>
      <c r="I63">
        <v>31</v>
      </c>
      <c r="J63">
        <f t="shared" si="6"/>
        <v>744</v>
      </c>
      <c r="K63" s="199">
        <v>600</v>
      </c>
      <c r="L63" s="199">
        <v>588</v>
      </c>
    </row>
    <row r="64" spans="1:12">
      <c r="A64" s="245">
        <f t="shared" si="1"/>
        <v>42826</v>
      </c>
      <c r="B64" s="251">
        <f>[15]Biogas_Nm!E16</f>
        <v>391446.828</v>
      </c>
      <c r="C64" s="251">
        <f t="shared" si="2"/>
        <v>399435.53877551</v>
      </c>
      <c r="D64" s="199">
        <f>'[15]Tabellen für Auswertung'!Q130</f>
        <v>294220.000000001</v>
      </c>
      <c r="E64" s="251" t="s">
        <v>405</v>
      </c>
      <c r="F64" s="689">
        <f t="shared" si="3"/>
        <v>90.6126916666667</v>
      </c>
      <c r="G64" s="689">
        <f t="shared" si="4"/>
        <v>69.4964096749814</v>
      </c>
      <c r="H64" t="e">
        <f t="shared" si="5"/>
        <v>#VALUE!</v>
      </c>
      <c r="I64">
        <v>30</v>
      </c>
      <c r="J64">
        <f t="shared" si="6"/>
        <v>720</v>
      </c>
      <c r="K64" s="199">
        <v>600</v>
      </c>
      <c r="L64" s="199">
        <v>588</v>
      </c>
    </row>
    <row r="65" spans="1:12">
      <c r="A65" s="245">
        <f t="shared" si="1"/>
        <v>42856</v>
      </c>
      <c r="B65" s="251">
        <f>[15]Biogas_Nm!E17</f>
        <v>437296.279405692</v>
      </c>
      <c r="C65" s="251">
        <f t="shared" si="2"/>
        <v>446220.693271114</v>
      </c>
      <c r="D65" s="199">
        <f>'[15]Tabellen für Auswertung'!Q131</f>
        <v>300547.999999999</v>
      </c>
      <c r="E65" s="251" t="s">
        <v>405</v>
      </c>
      <c r="F65" s="689">
        <f t="shared" si="3"/>
        <v>97.9606360675834</v>
      </c>
      <c r="G65" s="689">
        <f t="shared" si="4"/>
        <v>68.7010825835708</v>
      </c>
      <c r="H65" t="e">
        <f t="shared" si="5"/>
        <v>#VALUE!</v>
      </c>
      <c r="I65">
        <v>31</v>
      </c>
      <c r="J65">
        <f t="shared" si="6"/>
        <v>744</v>
      </c>
      <c r="K65" s="199">
        <v>600</v>
      </c>
      <c r="L65" s="199">
        <v>588</v>
      </c>
    </row>
    <row r="66" spans="1:12">
      <c r="A66" s="245">
        <f t="shared" si="1"/>
        <v>42887</v>
      </c>
      <c r="B66" s="251">
        <f>[15]Biogas_Nm!E18</f>
        <v>437297.154</v>
      </c>
      <c r="C66" s="251">
        <f t="shared" si="2"/>
        <v>446221.585714286</v>
      </c>
      <c r="D66" s="199">
        <f>'[15]Tabellen für Auswertung'!Q132</f>
        <v>315602.000000001</v>
      </c>
      <c r="E66" s="251" t="s">
        <v>405</v>
      </c>
      <c r="F66" s="689">
        <f t="shared" si="3"/>
        <v>101.226193055556</v>
      </c>
      <c r="G66" s="689">
        <f t="shared" si="4"/>
        <v>74.5469576719579</v>
      </c>
      <c r="H66" t="e">
        <f t="shared" si="5"/>
        <v>#VALUE!</v>
      </c>
      <c r="I66">
        <v>30</v>
      </c>
      <c r="J66">
        <f t="shared" si="6"/>
        <v>720</v>
      </c>
      <c r="K66" s="199">
        <v>600</v>
      </c>
      <c r="L66" s="199">
        <v>588</v>
      </c>
    </row>
    <row r="67" spans="1:12">
      <c r="A67" s="245">
        <f t="shared" si="1"/>
        <v>42917</v>
      </c>
      <c r="B67" s="251">
        <f>[15]Biogas_Nm!E19</f>
        <v>445514.988</v>
      </c>
      <c r="C67" s="251">
        <f t="shared" si="2"/>
        <v>454607.130612245</v>
      </c>
      <c r="D67" s="199">
        <f>'[15]Tabellen für Auswertung'!Q133</f>
        <v>318149.999999999</v>
      </c>
      <c r="E67" s="251" t="s">
        <v>405</v>
      </c>
      <c r="F67" s="689">
        <f t="shared" si="3"/>
        <v>99.8017446236559</v>
      </c>
      <c r="G67" s="689">
        <f t="shared" si="4"/>
        <v>72.7246543778799</v>
      </c>
      <c r="H67" t="e">
        <f t="shared" si="5"/>
        <v>#VALUE!</v>
      </c>
      <c r="I67">
        <v>31</v>
      </c>
      <c r="J67">
        <f t="shared" si="6"/>
        <v>744</v>
      </c>
      <c r="K67" s="199">
        <v>600</v>
      </c>
      <c r="L67" s="199">
        <v>588</v>
      </c>
    </row>
    <row r="68" spans="1:12">
      <c r="A68" s="246">
        <f t="shared" si="1"/>
        <v>42948</v>
      </c>
      <c r="B68" s="252">
        <f>[15]Biogas_Nm!E20</f>
        <v>427998.12</v>
      </c>
      <c r="C68" s="252">
        <f t="shared" si="2"/>
        <v>436732.775510204</v>
      </c>
      <c r="D68" s="227">
        <f>'[15]Tabellen für Auswertung'!Q134</f>
        <v>288420.000000001</v>
      </c>
      <c r="E68" s="252" t="s">
        <v>405</v>
      </c>
      <c r="F68" s="762">
        <f t="shared" si="3"/>
        <v>99.0736388888888</v>
      </c>
      <c r="G68" s="762">
        <f t="shared" si="4"/>
        <v>68.1264172335603</v>
      </c>
      <c r="H68" s="228" t="e">
        <f t="shared" si="5"/>
        <v>#VALUE!</v>
      </c>
      <c r="I68" s="228">
        <v>30</v>
      </c>
      <c r="J68" s="228">
        <f t="shared" si="6"/>
        <v>720</v>
      </c>
      <c r="K68" s="227">
        <v>600</v>
      </c>
      <c r="L68" s="227">
        <v>588</v>
      </c>
    </row>
    <row r="69" spans="1:12">
      <c r="A69" t="s">
        <v>406</v>
      </c>
      <c r="B69" s="251">
        <f t="shared" ref="B69:H69" si="7">AVERAGE(B57:B68)</f>
        <v>425652.982117141</v>
      </c>
      <c r="C69" s="251">
        <f t="shared" si="7"/>
        <v>434339.777670552</v>
      </c>
      <c r="D69" s="251">
        <f t="shared" si="7"/>
        <v>307569.408333333</v>
      </c>
      <c r="E69" s="251" t="e">
        <f t="shared" si="7"/>
        <v>#DIV/0!</v>
      </c>
      <c r="F69" s="761">
        <f t="shared" si="7"/>
        <v>97.4123604525085</v>
      </c>
      <c r="G69" s="761">
        <f t="shared" si="7"/>
        <v>71.8038592383745</v>
      </c>
      <c r="H69" t="e">
        <f t="shared" si="7"/>
        <v>#VALUE!</v>
      </c>
      <c r="K69">
        <f>AVERAGE(K57:K68)</f>
        <v>600</v>
      </c>
      <c r="L69">
        <f>AVERAGE(L57:L68)</f>
        <v>588</v>
      </c>
    </row>
    <row r="70" spans="1:5">
      <c r="A70" t="s">
        <v>386</v>
      </c>
      <c r="B70" s="251">
        <f>SUM(B57:B68)</f>
        <v>5107835.78540569</v>
      </c>
      <c r="C70" s="251">
        <f>SUM(C57:C68)</f>
        <v>5212077.33204662</v>
      </c>
      <c r="D70" s="251">
        <f>SUM(D57:D68)</f>
        <v>3690832.9</v>
      </c>
      <c r="E70" s="251">
        <f>SUM(E57:E68)</f>
        <v>0</v>
      </c>
    </row>
    <row r="71" spans="6:6">
      <c r="F71" t="s">
        <v>407</v>
      </c>
    </row>
    <row r="72" spans="6:7">
      <c r="F72" s="761">
        <f>(B70+E70)/((K69+L69)*8760)</f>
        <v>0.49081336437104</v>
      </c>
      <c r="G72" t="s">
        <v>408</v>
      </c>
    </row>
    <row r="73" spans="7:7">
      <c r="G73" t="s">
        <v>409</v>
      </c>
    </row>
    <row r="75" spans="6:6">
      <c r="F75">
        <f>B70/K69/8760</f>
        <v>0.97181046145466</v>
      </c>
    </row>
  </sheetData>
  <mergeCells count="1">
    <mergeCell ref="K54:L54"/>
  </mergeCells>
  <pageMargins left="0.7" right="0.7" top="0.787401575" bottom="0.787401575" header="0.3" footer="0.3"/>
  <pageSetup paperSize="9" orientation="portrait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N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3">
      <c r="A2" s="1"/>
      <c r="B2" s="2" t="s">
        <v>410</v>
      </c>
      <c r="C2" s="3"/>
      <c r="D2" s="3"/>
      <c r="E2" s="3"/>
      <c r="F2" s="3"/>
      <c r="G2" s="3"/>
      <c r="H2" s="3"/>
      <c r="I2" s="3"/>
      <c r="J2" s="3"/>
      <c r="K2" s="34"/>
      <c r="L2" s="1"/>
      <c r="M2" t="s">
        <v>77</v>
      </c>
    </row>
    <row r="3" ht="21.75" customHeight="1" spans="1:12">
      <c r="A3" s="1"/>
      <c r="B3" s="4" t="s">
        <v>2</v>
      </c>
      <c r="C3" s="5"/>
      <c r="D3" s="5"/>
      <c r="E3" s="5"/>
      <c r="F3" s="21">
        <v>600</v>
      </c>
      <c r="G3" s="22"/>
      <c r="H3" s="23" t="s">
        <v>187</v>
      </c>
      <c r="I3" s="5" t="s">
        <v>188</v>
      </c>
      <c r="J3" s="35">
        <v>4910575</v>
      </c>
      <c r="K3" s="36" t="s">
        <v>189</v>
      </c>
      <c r="L3" s="1"/>
    </row>
    <row r="4" ht="21.75" customHeight="1" spans="1:13">
      <c r="A4" s="1"/>
      <c r="B4" s="6" t="s">
        <v>190</v>
      </c>
      <c r="C4" s="7"/>
      <c r="D4" s="7"/>
      <c r="E4" s="7"/>
      <c r="F4" s="216">
        <f>0.95*F3</f>
        <v>570</v>
      </c>
      <c r="G4" s="217"/>
      <c r="H4" s="25" t="s">
        <v>187</v>
      </c>
      <c r="I4" s="7" t="s">
        <v>191</v>
      </c>
      <c r="J4" s="37">
        <v>2527373.43</v>
      </c>
      <c r="K4" s="38" t="s">
        <v>192</v>
      </c>
      <c r="L4" s="1"/>
      <c r="M4" t="s">
        <v>77</v>
      </c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88.9534898193508</v>
      </c>
      <c r="H6" s="27" t="s">
        <v>195</v>
      </c>
      <c r="I6" s="1"/>
      <c r="J6" s="40">
        <v>957686.65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8.83025282648847</v>
      </c>
      <c r="H7" s="27" t="s">
        <v>195</v>
      </c>
      <c r="I7" s="1"/>
      <c r="J7" s="40">
        <v>95067.83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2.21625735416068</v>
      </c>
      <c r="H8" s="27" t="s">
        <v>195</v>
      </c>
      <c r="I8" s="1"/>
      <c r="J8" s="40">
        <v>23860.56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1076615.04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30.8126768667287</v>
      </c>
      <c r="H11" s="27" t="s">
        <v>195</v>
      </c>
      <c r="I11" s="1"/>
      <c r="J11" s="40">
        <v>252691.01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30</v>
      </c>
      <c r="F13" s="15" t="s">
        <v>204</v>
      </c>
      <c r="G13" s="31"/>
      <c r="H13" s="15"/>
      <c r="I13" s="15"/>
      <c r="J13" s="45">
        <v>213820.8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43</v>
      </c>
      <c r="F14" s="15" t="s">
        <v>204</v>
      </c>
      <c r="G14" s="31"/>
      <c r="H14" s="15"/>
      <c r="I14" s="15"/>
      <c r="J14" s="45">
        <v>9290.15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130</v>
      </c>
      <c r="F15" s="15" t="s">
        <v>204</v>
      </c>
      <c r="G15" s="31"/>
      <c r="H15" s="15"/>
      <c r="I15" s="15"/>
      <c r="J15" s="45">
        <v>25296.7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8.55859559040884</v>
      </c>
      <c r="H16" s="27" t="s">
        <v>195</v>
      </c>
      <c r="I16" s="1"/>
      <c r="J16" s="40">
        <v>70188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14.4597562734196</v>
      </c>
      <c r="H17" s="27" t="s">
        <v>195</v>
      </c>
      <c r="I17" s="1"/>
      <c r="J17" s="40">
        <v>118582.7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18.6365967488701</v>
      </c>
      <c r="H18" s="27" t="s">
        <v>195</v>
      </c>
      <c r="I18" s="1"/>
      <c r="J18" s="40">
        <v>152836.46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27.5323745205727</v>
      </c>
      <c r="H19" s="27" t="s">
        <v>195</v>
      </c>
      <c r="I19" s="1"/>
      <c r="J19" s="40">
        <v>225789.65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58599.32</v>
      </c>
      <c r="K22" s="44" t="s">
        <v>196</v>
      </c>
      <c r="L22" s="17"/>
    </row>
    <row r="23" ht="21.75" customHeight="1" spans="1:14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5000</v>
      </c>
      <c r="K23" s="44" t="s">
        <v>196</v>
      </c>
      <c r="L23" s="15"/>
      <c r="N23" t="s">
        <v>77</v>
      </c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200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2869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15245.08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499.55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33711.88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62532.05</v>
      </c>
      <c r="K29" s="44" t="s">
        <v>196</v>
      </c>
      <c r="L29" s="15"/>
    </row>
    <row r="30" ht="21.75" customHeight="1" spans="1:13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  <c r="M30" t="s">
        <v>77</v>
      </c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47132.77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820087.82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21.9244190344308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16.7004438380434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5.22397519638739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256527.22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  <pageSetUpPr fitToPage="1"/>
  </sheetPr>
  <dimension ref="A1:T62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4" width="18.5" style="156" customWidth="1"/>
    <col min="5" max="7" width="11.5" style="156" customWidth="1"/>
    <col min="8" max="8" width="18.163461538461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30" customHeight="1" spans="1:13">
      <c r="A2" s="157"/>
      <c r="B2" s="49" t="s">
        <v>421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213" t="s">
        <v>422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880" t="s">
        <v>423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82" t="s">
        <v>7</v>
      </c>
      <c r="D6" s="582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213" t="s">
        <v>369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11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424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67"/>
      <c r="G14" s="64"/>
      <c r="H14" s="64"/>
      <c r="I14" s="57" t="s">
        <v>248</v>
      </c>
      <c r="J14" s="64"/>
      <c r="K14" s="92">
        <f>'[3]Tabellen für Auswertung'!J16</f>
        <v>8871.86001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2155</v>
      </c>
      <c r="E15" s="69">
        <v>1527</v>
      </c>
      <c r="F15" s="67"/>
      <c r="G15" s="69"/>
      <c r="H15" s="98">
        <f>SUM(D15:G15)</f>
        <v>3682</v>
      </c>
      <c r="I15" s="57" t="s">
        <v>249</v>
      </c>
      <c r="J15" s="64"/>
      <c r="K15" s="168">
        <f>'[3]Tabellen für Auswertung'!J33</f>
        <v>24.3248907727855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2001</v>
      </c>
      <c r="E16" s="69">
        <v>1376</v>
      </c>
      <c r="F16" s="67"/>
      <c r="G16" s="69"/>
      <c r="H16" s="98">
        <f>SUM(D16:G16)</f>
        <v>3377</v>
      </c>
      <c r="I16" s="56" t="s">
        <v>371</v>
      </c>
      <c r="J16" s="56"/>
      <c r="K16" s="591">
        <f>'[3]Tabellen für Auswertung'!F50*100</f>
        <v>77.4657174736011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67"/>
      <c r="G17" s="70"/>
      <c r="H17" s="98"/>
      <c r="I17" s="56" t="s">
        <v>157</v>
      </c>
      <c r="J17" s="56"/>
      <c r="K17" s="591">
        <f>'[3]Tabellen für Auswertung'!H50*100</f>
        <v>13.8651872168123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600</v>
      </c>
      <c r="F18" s="67"/>
      <c r="G18" s="71"/>
      <c r="H18" s="98">
        <f>SUM(D18:G18)</f>
        <v>600</v>
      </c>
      <c r="I18" s="56" t="s">
        <v>155</v>
      </c>
      <c r="J18" s="56"/>
      <c r="K18" s="591">
        <f>'[3]Tabellen für Auswertung'!D50*100</f>
        <v>8.35912648716377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159"/>
      <c r="G19" s="70"/>
      <c r="H19" s="100"/>
      <c r="I19" s="56" t="s">
        <v>372</v>
      </c>
      <c r="J19" s="56"/>
      <c r="K19" s="591">
        <f>'[3]Tabellen für Auswertung'!E50*100</f>
        <v>0.309968822422842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67"/>
      <c r="G20" s="74"/>
      <c r="H20" s="101"/>
      <c r="I20" s="56"/>
      <c r="J20" s="56"/>
      <c r="K20" s="832"/>
      <c r="L20" s="118"/>
      <c r="M20" s="178"/>
    </row>
    <row r="21" ht="15" customHeight="1" spans="1:15">
      <c r="A21" s="157"/>
      <c r="B21" s="66" t="s">
        <v>71</v>
      </c>
      <c r="C21" s="64" t="s">
        <v>59</v>
      </c>
      <c r="D21" s="75">
        <f>[3]Auswertung!L182</f>
        <v>11.6154102317619</v>
      </c>
      <c r="E21" s="75">
        <f>[3]Auswertung!O182</f>
        <v>10.5976297389864</v>
      </c>
      <c r="F21" s="67"/>
      <c r="G21" s="78"/>
      <c r="H21" s="102"/>
      <c r="I21" s="56"/>
      <c r="J21" s="56"/>
      <c r="K21" s="832"/>
      <c r="L21" s="118"/>
      <c r="M21" s="178"/>
      <c r="O21" s="823"/>
    </row>
    <row r="22" ht="15" customHeight="1" spans="1:13">
      <c r="A22" s="157"/>
      <c r="B22" s="66" t="s">
        <v>73</v>
      </c>
      <c r="C22" s="64" t="s">
        <v>59</v>
      </c>
      <c r="D22" s="75">
        <f>[3]Auswertung!N182</f>
        <v>73.6232153299248</v>
      </c>
      <c r="E22" s="75">
        <f>[3]Auswertung!Q182</f>
        <v>73.9672698324499</v>
      </c>
      <c r="F22" s="67"/>
      <c r="G22" s="78" t="s">
        <v>77</v>
      </c>
      <c r="H22" s="102"/>
      <c r="I22" s="56"/>
      <c r="J22" s="56"/>
      <c r="K22" s="56"/>
      <c r="L22" s="118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8"/>
      <c r="F23" s="67"/>
      <c r="G23" s="78"/>
      <c r="H23" s="103" t="s">
        <v>425</v>
      </c>
      <c r="I23" s="534" t="s">
        <v>76</v>
      </c>
      <c r="J23" s="56"/>
      <c r="K23" s="56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8" t="s">
        <v>77</v>
      </c>
      <c r="F24" s="67"/>
      <c r="G24" s="78"/>
      <c r="H24" s="104" t="s">
        <v>426</v>
      </c>
      <c r="I24" s="55" t="s">
        <v>80</v>
      </c>
      <c r="J24" s="56"/>
      <c r="K24" s="591">
        <f>'[3]Tabellen für Auswertung'!J84</f>
        <v>38.672107039752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8"/>
      <c r="E25" s="78"/>
      <c r="F25" s="67"/>
      <c r="G25" s="78"/>
      <c r="H25" s="174" t="s">
        <v>427</v>
      </c>
      <c r="I25" s="56" t="s">
        <v>83</v>
      </c>
      <c r="J25" s="56"/>
      <c r="K25" s="591">
        <f>'[3]Tabellen für Auswertung'!J101</f>
        <v>93.5103319003883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67"/>
      <c r="G26" s="78"/>
      <c r="H26" s="102" t="s">
        <v>428</v>
      </c>
      <c r="I26" s="56" t="s">
        <v>86</v>
      </c>
      <c r="J26" s="56"/>
      <c r="K26" s="591">
        <f>'[3]Tabellen für Auswertung'!J118</f>
        <v>74.8024729064646</v>
      </c>
      <c r="L26" s="118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67"/>
      <c r="G27" s="78"/>
      <c r="H27" s="103" t="s">
        <v>429</v>
      </c>
      <c r="I27" s="130"/>
      <c r="J27" s="130"/>
      <c r="K27" s="130"/>
      <c r="L27" s="167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67"/>
      <c r="G28" s="78"/>
      <c r="H28" s="103" t="s">
        <v>267</v>
      </c>
      <c r="I28" s="63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5">
        <f>[3]Auswertung!N224</f>
        <v>8.01</v>
      </c>
      <c r="E29" s="75">
        <f>[3]Auswertung!Q224</f>
        <v>7.41416666666667</v>
      </c>
      <c r="F29" s="67"/>
      <c r="G29" s="78"/>
      <c r="H29" s="78"/>
      <c r="I29" s="66" t="s">
        <v>26</v>
      </c>
      <c r="J29" s="64"/>
      <c r="K29" s="64">
        <v>2</v>
      </c>
      <c r="L29" s="114"/>
    </row>
    <row r="30" ht="15" customHeight="1" spans="1:12">
      <c r="A30" s="157"/>
      <c r="B30" s="66" t="s">
        <v>94</v>
      </c>
      <c r="C30" s="56" t="s">
        <v>95</v>
      </c>
      <c r="D30" s="77">
        <f>'[3]Finales Datenblatt'!K370</f>
        <v>43.7112328767123</v>
      </c>
      <c r="E30" s="77">
        <f>'[3]Finales Datenblatt'!N370</f>
        <v>41.8493150684931</v>
      </c>
      <c r="F30" s="67"/>
      <c r="G30" s="78"/>
      <c r="H30" s="78"/>
      <c r="I30" s="66" t="s">
        <v>96</v>
      </c>
      <c r="J30" s="92"/>
      <c r="K30" s="64">
        <v>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f>[3]Auswertung!L224/1000</f>
        <v>3.37583333333333</v>
      </c>
      <c r="E31" s="75">
        <f>[3]Auswertung!O224/1000</f>
        <v>3.28625</v>
      </c>
      <c r="F31" s="67"/>
      <c r="G31" s="78"/>
      <c r="H31" s="78"/>
      <c r="I31" s="66" t="s">
        <v>99</v>
      </c>
      <c r="J31" s="92"/>
      <c r="K31" s="92">
        <v>7000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f>[3]Auswertung!M224/1000</f>
        <v>6.22388888888889</v>
      </c>
      <c r="E32" s="75">
        <f>[3]Auswertung!P224/1000</f>
        <v>6.73208333333333</v>
      </c>
      <c r="F32" s="67"/>
      <c r="G32" s="78"/>
      <c r="H32" s="78"/>
      <c r="I32" s="66" t="s">
        <v>66</v>
      </c>
      <c r="J32" s="92"/>
      <c r="K32" s="92">
        <v>0</v>
      </c>
      <c r="L32" s="114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f>'[3]BGA 11 Labordaten_DBFZ'!W18</f>
        <v>266</v>
      </c>
      <c r="E33" s="77">
        <f>'[3]BGA 11 Labordaten_DBFZ'!W30</f>
        <v>194</v>
      </c>
      <c r="F33" s="67"/>
      <c r="G33" s="78"/>
      <c r="H33" s="78" t="s">
        <v>77</v>
      </c>
      <c r="I33" s="57" t="s">
        <v>103</v>
      </c>
      <c r="J33" s="64"/>
      <c r="K33" s="194">
        <v>2.9</v>
      </c>
      <c r="L33" s="114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f>[3]Auswertung!O203</f>
        <v>0.176730637895659</v>
      </c>
      <c r="E34" s="80">
        <f>[3]Auswertung!S203</f>
        <v>0.162762143313369</v>
      </c>
      <c r="F34" s="67"/>
      <c r="G34" s="78"/>
      <c r="H34" s="78"/>
      <c r="I34" s="66" t="s">
        <v>105</v>
      </c>
      <c r="J34" s="64"/>
      <c r="K34" s="194">
        <f>[3]Auswertung!S182</f>
        <v>9.90465453717171</v>
      </c>
      <c r="L34" s="114" t="s">
        <v>59</v>
      </c>
      <c r="M34" s="157" t="s">
        <v>380</v>
      </c>
      <c r="N34" s="210"/>
      <c r="P34" s="211"/>
    </row>
    <row r="35" ht="15" customHeight="1" spans="1:13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94">
        <f>[3]Auswertung!T182</f>
        <v>72.0510136979312</v>
      </c>
      <c r="L35" s="114" t="s">
        <v>59</v>
      </c>
      <c r="M35" s="157" t="s">
        <v>380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70"/>
      <c r="L36" s="167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110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58</v>
      </c>
      <c r="E39" s="64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f>'[3]Finales Datenblatt'!AB370</f>
        <v>54.3178082191781</v>
      </c>
    </row>
    <row r="41" ht="15" customHeight="1" spans="1:12">
      <c r="A41" s="157"/>
      <c r="B41" s="86"/>
      <c r="C41" s="77"/>
      <c r="D41" s="67" t="s">
        <v>419</v>
      </c>
      <c r="E41" s="67"/>
      <c r="F41" s="67"/>
      <c r="G41" s="67"/>
      <c r="H41" s="67"/>
      <c r="I41" s="66"/>
      <c r="J41" s="64" t="s">
        <v>113</v>
      </c>
      <c r="K41" s="78" t="s">
        <v>116</v>
      </c>
      <c r="L41" s="879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78" t="s">
        <v>120</v>
      </c>
      <c r="L42" s="103">
        <f>'[3]Finales Datenblatt'!AD370</f>
        <v>0.497237569060776</v>
      </c>
    </row>
    <row r="43" ht="15" customHeight="1" spans="1:12">
      <c r="A43" s="157"/>
      <c r="B43" s="66" t="s">
        <v>121</v>
      </c>
      <c r="C43" s="64" t="s">
        <v>122</v>
      </c>
      <c r="D43" s="77">
        <v>537</v>
      </c>
      <c r="E43" s="77"/>
      <c r="F43" s="77"/>
      <c r="G43" s="78"/>
      <c r="H43" s="102"/>
      <c r="I43" s="66"/>
      <c r="J43" s="64" t="s">
        <v>123</v>
      </c>
      <c r="K43" s="172" t="s">
        <v>124</v>
      </c>
      <c r="L43" s="174">
        <f>'[3]Finales Datenblatt'!AF370</f>
        <v>139.660273972603</v>
      </c>
    </row>
    <row r="44" ht="15" customHeight="1" spans="1:17">
      <c r="A44" s="157"/>
      <c r="B44" s="66" t="s">
        <v>125</v>
      </c>
      <c r="C44" s="64" t="s">
        <v>122</v>
      </c>
      <c r="D44" s="77">
        <v>529</v>
      </c>
      <c r="E44" s="77"/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38</v>
      </c>
      <c r="E45" s="78"/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40</v>
      </c>
      <c r="E46" s="78"/>
      <c r="F46" s="78"/>
      <c r="G46" s="78"/>
      <c r="H46" s="102"/>
      <c r="I46" s="66"/>
      <c r="J46" s="64" t="s">
        <v>131</v>
      </c>
      <c r="K46" s="77">
        <f>[3]Auswertung!Q156/'[3]Tabellen für Auswertung'!J16</f>
        <v>223.38107963819</v>
      </c>
      <c r="L46" s="174">
        <f>K46*L40/100</f>
        <v>121.335706435802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7">
        <f>K46/(K24/100*K25/100)</f>
        <v>617.716144370656</v>
      </c>
      <c r="L47" s="174">
        <f>L46/(K24/100*K25/100)</f>
        <v>335.529870638154</v>
      </c>
    </row>
    <row r="48" ht="15" customHeight="1" spans="1:13">
      <c r="A48" s="157"/>
      <c r="B48" s="66" t="s">
        <v>135</v>
      </c>
      <c r="C48" s="64" t="s">
        <v>240</v>
      </c>
      <c r="D48" s="69">
        <f>'[3]Tabellen für Auswertung'!P33</f>
        <v>8338.5</v>
      </c>
      <c r="E48" s="69"/>
      <c r="F48" s="78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 t="e">
        <f>'[3]Tabellen für Auswertung'!P50/'[18]BGA 11_Datenblatt'!D43</f>
        <v>#REF!</v>
      </c>
      <c r="E49" s="821"/>
      <c r="F49" s="78"/>
      <c r="G49" s="69"/>
      <c r="H49" s="98"/>
      <c r="I49" s="66"/>
      <c r="J49" s="64" t="s">
        <v>139</v>
      </c>
      <c r="K49" s="69">
        <f>'[3]Tabellen für Auswertung'!P50/365</f>
        <v>11551.501369863</v>
      </c>
      <c r="L49" s="98"/>
    </row>
    <row r="50" ht="15" customHeight="1" spans="1:20">
      <c r="A50" s="157"/>
      <c r="B50" s="57" t="s">
        <v>140</v>
      </c>
      <c r="C50" s="64" t="s">
        <v>59</v>
      </c>
      <c r="D50" s="75" t="e">
        <f>D49/24/365*100</f>
        <v>#REF!</v>
      </c>
      <c r="E50" s="821"/>
      <c r="F50" s="78"/>
      <c r="G50" s="78"/>
      <c r="H50" s="102"/>
      <c r="I50" s="66"/>
      <c r="J50" s="64" t="s">
        <v>141</v>
      </c>
      <c r="K50" s="69">
        <f>'[3]Tabellen für Auswertung'!P50/'[3]Tabellen für Auswertung'!J16</f>
        <v>475.24397310683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f>'[3]Tabellen für Auswertung'!R84</f>
        <v>483536.9828</v>
      </c>
      <c r="D55" s="517">
        <v>11.468</v>
      </c>
      <c r="E55" s="111" t="s">
        <v>147</v>
      </c>
      <c r="F55" s="64"/>
      <c r="G55" s="64" t="s">
        <v>148</v>
      </c>
      <c r="H55" s="64"/>
      <c r="I55" s="69">
        <f>'[3]Tabellen für Auswertung'!P135</f>
        <v>127350</v>
      </c>
      <c r="J55" s="593">
        <v>3</v>
      </c>
      <c r="K55" s="111" t="s">
        <v>149</v>
      </c>
      <c r="L55" s="114"/>
    </row>
    <row r="56" ht="15" customHeight="1" spans="1:12">
      <c r="A56" s="157"/>
      <c r="B56" s="66" t="s">
        <v>430</v>
      </c>
      <c r="C56" s="93">
        <f>'[3]Tabellen für Auswertung'!Q84</f>
        <v>112614</v>
      </c>
      <c r="D56" s="517">
        <v>2.67</v>
      </c>
      <c r="E56" s="111" t="s">
        <v>147</v>
      </c>
      <c r="F56" s="64"/>
      <c r="G56" s="64" t="s">
        <v>274</v>
      </c>
      <c r="H56" s="64"/>
      <c r="I56" s="69">
        <v>2755068.1607</v>
      </c>
      <c r="J56" s="593">
        <v>62</v>
      </c>
      <c r="K56" s="111" t="s">
        <v>149</v>
      </c>
      <c r="L56" s="114"/>
    </row>
    <row r="57" ht="15" customHeight="1" spans="1:12">
      <c r="A57" s="157"/>
      <c r="B57" s="66" t="s">
        <v>431</v>
      </c>
      <c r="C57" s="93">
        <f>'[3]Tabellen für Auswertung'!P84</f>
        <v>370922.9828</v>
      </c>
      <c r="D57" s="517">
        <v>8.797</v>
      </c>
      <c r="E57" s="111" t="s">
        <v>147</v>
      </c>
      <c r="F57" s="64"/>
      <c r="G57" s="64"/>
      <c r="H57" s="64"/>
      <c r="I57" s="69"/>
      <c r="J57" s="594"/>
      <c r="K57" s="111"/>
      <c r="L57" s="114"/>
    </row>
    <row r="58" ht="15" customHeight="1" spans="1:12">
      <c r="A58" s="157"/>
      <c r="B58" s="81"/>
      <c r="C58" s="94"/>
      <c r="D58" s="94"/>
      <c r="E58" s="94"/>
      <c r="F58" s="94"/>
      <c r="G58" s="94"/>
      <c r="H58" s="94"/>
      <c r="I58" s="89"/>
      <c r="J58" s="595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G61"/>
      <c r="H61"/>
    </row>
    <row r="62" ht="16.8" spans="7:8">
      <c r="G62"/>
      <c r="H62"/>
    </row>
  </sheetData>
  <mergeCells count="1">
    <mergeCell ref="B2:L2"/>
  </mergeCells>
  <pageMargins left="0.236220472440945" right="0.236220472440945" top="0.748031496062992" bottom="0.748031496062992" header="0.31496062992126" footer="0.31496062992126"/>
  <pageSetup paperSize="9" scale="43" orientation="portrait"/>
  <headerFooter/>
  <ignoredErrors>
    <ignoredError sqref="C5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2:X67"/>
  <sheetViews>
    <sheetView zoomScale="85" zoomScaleNormal="85" workbookViewId="0">
      <selection activeCell="A1" sqref="A1"/>
    </sheetView>
  </sheetViews>
  <sheetFormatPr defaultColWidth="11.5" defaultRowHeight="16.8"/>
  <cols>
    <col min="2" max="2" width="10.6634615384615" customWidth="1"/>
    <col min="3" max="3" width="12.5" customWidth="1"/>
    <col min="4" max="4" width="13.5" customWidth="1"/>
    <col min="5" max="5" width="12.5" customWidth="1"/>
    <col min="6" max="6" width="13.5" customWidth="1"/>
    <col min="7" max="7" width="12.5" customWidth="1"/>
    <col min="8" max="8" width="13.5" customWidth="1"/>
    <col min="9" max="9" width="10" customWidth="1"/>
    <col min="10" max="10" width="17.5" customWidth="1"/>
  </cols>
  <sheetData>
    <row r="2" spans="1:11">
      <c r="A2" s="544" t="s">
        <v>154</v>
      </c>
      <c r="B2" s="544" t="s">
        <v>382</v>
      </c>
      <c r="C2" s="544" t="s">
        <v>372</v>
      </c>
      <c r="D2" s="544" t="s">
        <v>432</v>
      </c>
      <c r="E2" s="544" t="s">
        <v>157</v>
      </c>
      <c r="F2" t="s">
        <v>58</v>
      </c>
      <c r="G2" s="544" t="s">
        <v>155</v>
      </c>
      <c r="H2" s="544" t="s">
        <v>155</v>
      </c>
      <c r="I2" s="544" t="s">
        <v>384</v>
      </c>
      <c r="J2" s="544" t="s">
        <v>385</v>
      </c>
      <c r="K2" s="544" t="s">
        <v>386</v>
      </c>
    </row>
    <row r="3" spans="1:24">
      <c r="A3" s="545">
        <f>[19]Auswertung!K3</f>
        <v>0</v>
      </c>
      <c r="B3" s="545" t="str">
        <f>[19]Auswertung!L3</f>
        <v>[%]</v>
      </c>
      <c r="C3" s="545" t="str">
        <f>[19]Auswertung!M3</f>
        <v>[%]</v>
      </c>
      <c r="D3" s="545" t="str">
        <f>[19]Auswertung!N3</f>
        <v>[%]</v>
      </c>
      <c r="E3" s="545" t="str">
        <f>[19]Auswertung!O3</f>
        <v>[%]</v>
      </c>
      <c r="F3" s="545" t="str">
        <f>[19]Auswertung!P3</f>
        <v>[%]</v>
      </c>
      <c r="G3" s="545" t="str">
        <f>[19]Auswertung!Q3</f>
        <v>[%]</v>
      </c>
      <c r="H3" s="545" t="str">
        <f>[19]Auswertung!R3</f>
        <v>[%]</v>
      </c>
      <c r="I3" s="545" t="str">
        <f>[19]Auswertung!U3</f>
        <v>[%]</v>
      </c>
      <c r="J3" s="545" t="str">
        <f>[19]Auswertung!S3</f>
        <v>[t/d]</v>
      </c>
      <c r="K3" s="545"/>
      <c r="X3" s="579"/>
    </row>
    <row r="4" spans="1:11">
      <c r="A4" s="546">
        <f>[3]Auswertung!K4</f>
        <v>42644</v>
      </c>
      <c r="B4" s="547"/>
      <c r="C4" s="547">
        <f>[3]Auswertung!M4</f>
        <v>0</v>
      </c>
      <c r="D4" s="547"/>
      <c r="E4" s="547">
        <f>[3]Auswertung!O4</f>
        <v>15.1248516844645</v>
      </c>
      <c r="F4" s="547">
        <f>[3]Auswertung!P4</f>
        <v>74.3350797904252</v>
      </c>
      <c r="G4" s="547">
        <f>[3]Auswertung!Q4</f>
        <v>10.4987401511819</v>
      </c>
      <c r="H4" s="547"/>
      <c r="I4" s="573">
        <f>[3]Auswertung!U4</f>
        <v>0.0413283739284619</v>
      </c>
      <c r="J4" s="547">
        <f>[3]Auswertung!S4</f>
        <v>24.2293516129032</v>
      </c>
      <c r="K4" s="573">
        <f t="shared" ref="K4:K15" si="0">SUM(B4:I4)</f>
        <v>100</v>
      </c>
    </row>
    <row r="5" spans="1:11">
      <c r="A5" s="546">
        <f>[3]Auswertung!K5</f>
        <v>42675</v>
      </c>
      <c r="B5" s="547"/>
      <c r="C5" s="547">
        <f>[3]Auswertung!M5</f>
        <v>0</v>
      </c>
      <c r="D5" s="547"/>
      <c r="E5" s="547">
        <f>[3]Auswertung!O5</f>
        <v>15.5946729957806</v>
      </c>
      <c r="F5" s="547">
        <f>[3]Auswertung!P5</f>
        <v>80.3401898734177</v>
      </c>
      <c r="G5" s="547">
        <f>[3]Auswertung!Q5</f>
        <v>4.02558016877637</v>
      </c>
      <c r="H5" s="547"/>
      <c r="I5" s="573">
        <f>[3]Auswertung!U5</f>
        <v>0.0395569620253165</v>
      </c>
      <c r="J5" s="547">
        <f>[3]Auswertung!S5</f>
        <v>25.3368333333333</v>
      </c>
      <c r="K5" s="573">
        <f t="shared" si="0"/>
        <v>100</v>
      </c>
    </row>
    <row r="6" spans="1:11">
      <c r="A6" s="546">
        <f>[3]Auswertung!K6</f>
        <v>42705</v>
      </c>
      <c r="B6" s="547"/>
      <c r="C6" s="547">
        <f>[3]Auswertung!M6</f>
        <v>0</v>
      </c>
      <c r="D6" s="547"/>
      <c r="E6" s="547">
        <f>[3]Auswertung!O6</f>
        <v>15.2372905224616</v>
      </c>
      <c r="F6" s="547">
        <f>[3]Auswertung!P6</f>
        <v>79.2692450487127</v>
      </c>
      <c r="G6" s="547">
        <f>[3]Auswertung!Q6</f>
        <v>5.45377731689519</v>
      </c>
      <c r="H6" s="547"/>
      <c r="I6" s="573">
        <f>[3]Auswertung!U6</f>
        <v>0.0396871119304579</v>
      </c>
      <c r="J6" s="547">
        <f>[3]Auswertung!S6</f>
        <v>25.2721129032258</v>
      </c>
      <c r="K6" s="573">
        <f t="shared" si="0"/>
        <v>100</v>
      </c>
    </row>
    <row r="7" spans="1:11">
      <c r="A7" s="546">
        <f>[3]Auswertung!K7</f>
        <v>42736</v>
      </c>
      <c r="B7" s="547"/>
      <c r="C7" s="547">
        <f>[3]Auswertung!M7</f>
        <v>0</v>
      </c>
      <c r="D7" s="547"/>
      <c r="E7" s="547">
        <f>[3]Auswertung!O7</f>
        <v>15.1542177629134</v>
      </c>
      <c r="F7" s="547">
        <f>[3]Auswertung!P7</f>
        <v>74.4952310169702</v>
      </c>
      <c r="G7" s="547">
        <f>[3]Auswertung!Q7</f>
        <v>10.3121516164994</v>
      </c>
      <c r="H7" s="547"/>
      <c r="I7" s="573">
        <f>[3]Auswertung!U7</f>
        <v>0.0383996036169949</v>
      </c>
      <c r="J7" s="547">
        <f>[3]Auswertung!S7</f>
        <v>26.1414677419355</v>
      </c>
      <c r="K7" s="573">
        <f t="shared" si="0"/>
        <v>100</v>
      </c>
    </row>
    <row r="8" spans="1:11">
      <c r="A8" s="546">
        <f>[3]Auswertung!K8</f>
        <v>42767</v>
      </c>
      <c r="B8" s="547"/>
      <c r="C8" s="547">
        <f>[3]Auswertung!M8</f>
        <v>0</v>
      </c>
      <c r="D8" s="547"/>
      <c r="E8" s="547">
        <f>[3]Auswertung!O8</f>
        <v>15.2731188139313</v>
      </c>
      <c r="F8" s="547">
        <f>[3]Auswertung!P8</f>
        <v>74.202454411176</v>
      </c>
      <c r="G8" s="547">
        <f>[3]Auswertung!Q8</f>
        <v>10.4857746303889</v>
      </c>
      <c r="H8" s="547"/>
      <c r="I8" s="573">
        <f>[3]Auswertung!U8</f>
        <v>0.0386521445038031</v>
      </c>
      <c r="J8" s="547">
        <f>[3]Auswertung!S8</f>
        <v>25.9633571428571</v>
      </c>
      <c r="K8" s="573">
        <f t="shared" si="0"/>
        <v>100</v>
      </c>
    </row>
    <row r="9" spans="1:11">
      <c r="A9" s="546">
        <f>[3]Auswertung!K9</f>
        <v>42795</v>
      </c>
      <c r="B9" s="547"/>
      <c r="C9" s="547">
        <f>[3]Auswertung!M9</f>
        <v>0</v>
      </c>
      <c r="D9" s="547"/>
      <c r="E9" s="547">
        <f>[3]Auswertung!O9</f>
        <v>15.5146595208071</v>
      </c>
      <c r="F9" s="547">
        <f>[3]Auswertung!P9</f>
        <v>73.8296027742749</v>
      </c>
      <c r="G9" s="547">
        <f>[3]Auswertung!Q9</f>
        <v>10.6150168137873</v>
      </c>
      <c r="H9" s="547"/>
      <c r="I9" s="573">
        <f>[3]Auswertung!U9</f>
        <v>0.0407208911307272</v>
      </c>
      <c r="J9" s="547">
        <f>[3]Auswertung!S9</f>
        <v>24.6440483870968</v>
      </c>
      <c r="K9" s="573">
        <f t="shared" si="0"/>
        <v>100</v>
      </c>
    </row>
    <row r="10" spans="1:11">
      <c r="A10" s="546">
        <f>[3]Auswertung!K10</f>
        <v>42826</v>
      </c>
      <c r="B10" s="547"/>
      <c r="C10" s="547">
        <f>[3]Auswertung!M10</f>
        <v>0</v>
      </c>
      <c r="D10" s="547"/>
      <c r="E10" s="547">
        <f>[3]Auswertung!O10</f>
        <v>14.1469899313913</v>
      </c>
      <c r="F10" s="547">
        <f>[3]Auswertung!P10</f>
        <v>76.4948744182883</v>
      </c>
      <c r="G10" s="547">
        <f>[3]Auswertung!Q10</f>
        <v>9.31174700697767</v>
      </c>
      <c r="H10" s="547"/>
      <c r="I10" s="573">
        <f>[3]Auswertung!U10</f>
        <v>0.046388643342632</v>
      </c>
      <c r="J10" s="547">
        <f>[3]Auswertung!S10</f>
        <v>21.6085003333333</v>
      </c>
      <c r="K10" s="573">
        <f t="shared" si="0"/>
        <v>100</v>
      </c>
    </row>
    <row r="11" spans="1:11">
      <c r="A11" s="546">
        <f>[3]Auswertung!K11</f>
        <v>42856</v>
      </c>
      <c r="B11" s="547"/>
      <c r="C11" s="547">
        <f>[3]Auswertung!M11</f>
        <v>0</v>
      </c>
      <c r="D11" s="547"/>
      <c r="E11" s="547">
        <f>[3]Auswertung!O11</f>
        <v>0</v>
      </c>
      <c r="F11" s="547">
        <f>[3]Auswertung!P11</f>
        <v>99.9407197766474</v>
      </c>
      <c r="G11" s="547">
        <f>[3]Auswertung!Q11</f>
        <v>0</v>
      </c>
      <c r="H11" s="547"/>
      <c r="I11" s="573">
        <f>[3]Auswertung!U11</f>
        <v>0.0592802233525835</v>
      </c>
      <c r="J11" s="547">
        <f>[3]Auswertung!S11</f>
        <v>16.9479193548387</v>
      </c>
      <c r="K11" s="573">
        <f t="shared" si="0"/>
        <v>100</v>
      </c>
    </row>
    <row r="12" spans="1:11">
      <c r="A12" s="546">
        <f>[3]Auswertung!K12</f>
        <v>42887</v>
      </c>
      <c r="B12" s="547"/>
      <c r="C12" s="547">
        <f>[3]Auswertung!M12</f>
        <v>0</v>
      </c>
      <c r="D12" s="547"/>
      <c r="E12" s="547">
        <f>[3]Auswertung!O12</f>
        <v>10.5113674969764</v>
      </c>
      <c r="F12" s="547">
        <f>[3]Auswertung!P12</f>
        <v>83.8694334597144</v>
      </c>
      <c r="G12" s="547">
        <f>[3]Auswertung!Q12</f>
        <v>5.57843097286205</v>
      </c>
      <c r="H12" s="547"/>
      <c r="I12" s="573">
        <f>[3]Auswertung!U12</f>
        <v>0.0407680704472257</v>
      </c>
      <c r="J12" s="547">
        <f>[3]Auswertung!S12</f>
        <v>24.5918333333333</v>
      </c>
      <c r="K12" s="573">
        <f t="shared" si="0"/>
        <v>100</v>
      </c>
    </row>
    <row r="13" spans="1:11">
      <c r="A13" s="546">
        <f>[3]Auswertung!K13</f>
        <v>42917</v>
      </c>
      <c r="B13" s="547"/>
      <c r="C13" s="547">
        <f>[3]Auswertung!M13</f>
        <v>1.91835705851918</v>
      </c>
      <c r="D13" s="547"/>
      <c r="E13" s="547">
        <f>[3]Auswertung!O13</f>
        <v>15.4370696631598</v>
      </c>
      <c r="F13" s="547">
        <f>[3]Auswertung!P13</f>
        <v>72.1002427796277</v>
      </c>
      <c r="G13" s="547">
        <f>[3]Auswertung!Q13</f>
        <v>10.5032038950874</v>
      </c>
      <c r="H13" s="547"/>
      <c r="I13" s="573">
        <f>[3]Auswertung!U13</f>
        <v>0.0411266036058745</v>
      </c>
      <c r="J13" s="547">
        <f>[3]Auswertung!S13</f>
        <v>24.3966290322581</v>
      </c>
      <c r="K13" s="573">
        <f t="shared" si="0"/>
        <v>100</v>
      </c>
    </row>
    <row r="14" spans="1:11">
      <c r="A14" s="546">
        <f>[3]Auswertung!K14</f>
        <v>42948</v>
      </c>
      <c r="B14" s="547"/>
      <c r="C14" s="547">
        <f>[3]Auswertung!M14</f>
        <v>1.64856698567618</v>
      </c>
      <c r="D14" s="547"/>
      <c r="E14" s="547">
        <f>[3]Auswertung!O14</f>
        <v>15.0355883133794</v>
      </c>
      <c r="F14" s="547">
        <f>[3]Auswertung!P14</f>
        <v>72.9503533546568</v>
      </c>
      <c r="G14" s="547">
        <f>[3]Auswertung!Q14</f>
        <v>10.3262999532232</v>
      </c>
      <c r="H14" s="547"/>
      <c r="I14" s="573">
        <f>[3]Auswertung!U14</f>
        <v>0.0391913930643877</v>
      </c>
      <c r="J14" s="547">
        <f>[3]Auswertung!S14</f>
        <v>25.5995322580645</v>
      </c>
      <c r="K14" s="573">
        <f t="shared" si="0"/>
        <v>100</v>
      </c>
    </row>
    <row r="15" spans="1:11">
      <c r="A15" s="548">
        <f>[3]Auswertung!K15</f>
        <v>42979</v>
      </c>
      <c r="B15" s="549"/>
      <c r="C15" s="549">
        <f>[3]Auswertung!M15</f>
        <v>0</v>
      </c>
      <c r="D15" s="549"/>
      <c r="E15" s="549">
        <f>[3]Auswertung!O15</f>
        <v>14.7322700085446</v>
      </c>
      <c r="F15" s="549">
        <f>[3]Auswertung!P15</f>
        <v>74.8374157410045</v>
      </c>
      <c r="G15" s="549">
        <f>[3]Auswertung!Q15</f>
        <v>10.3947118579702</v>
      </c>
      <c r="H15" s="549"/>
      <c r="I15" s="575">
        <f>[3]Auswertung!U15</f>
        <v>0.0356023924807747</v>
      </c>
      <c r="J15" s="549">
        <f>[3]Auswertung!S15</f>
        <v>28.1715</v>
      </c>
      <c r="K15" s="575">
        <f t="shared" si="0"/>
        <v>100</v>
      </c>
    </row>
    <row r="16" spans="1:11">
      <c r="A16" s="550" t="str">
        <f>[3]Auswertung!K16</f>
        <v>Jahresmenge</v>
      </c>
      <c r="B16" s="547"/>
      <c r="C16" s="547">
        <f>[3]Auswertung!M16</f>
        <v>0.309968822422842</v>
      </c>
      <c r="D16" s="547"/>
      <c r="E16" s="547">
        <f>[3]Auswertung!O16</f>
        <v>13.8651872168123</v>
      </c>
      <c r="F16" s="547">
        <f>[3]Auswertung!P16</f>
        <v>77.4657174736011</v>
      </c>
      <c r="G16" s="547">
        <f>[3]Auswertung!Q16</f>
        <v>8.35912648716377</v>
      </c>
      <c r="H16" s="547"/>
      <c r="I16" s="573">
        <f>[3]Auswertung!U16</f>
        <v>0.0205664275658124</v>
      </c>
      <c r="J16" s="547">
        <f>[3]Auswertung!S16</f>
        <v>48.7334812255504</v>
      </c>
      <c r="K16" s="573">
        <f>AVERAGE(K4:K15)</f>
        <v>100</v>
      </c>
    </row>
    <row r="22" spans="3:5">
      <c r="C22" s="824" t="s">
        <v>104</v>
      </c>
      <c r="D22" s="552" t="s">
        <v>22</v>
      </c>
      <c r="E22" s="552"/>
    </row>
    <row r="23" ht="34" spans="2:5">
      <c r="B23" s="219"/>
      <c r="C23" s="825"/>
      <c r="D23" s="553" t="s">
        <v>388</v>
      </c>
      <c r="E23" s="569" t="s">
        <v>388</v>
      </c>
    </row>
    <row r="24" spans="2:5">
      <c r="B24" s="219"/>
      <c r="C24" s="826"/>
      <c r="D24" s="555" t="s">
        <v>389</v>
      </c>
      <c r="E24" s="570" t="s">
        <v>389</v>
      </c>
    </row>
    <row r="25" spans="3:5">
      <c r="C25" s="827">
        <f t="shared" ref="C25:C36" si="1">A4</f>
        <v>42644</v>
      </c>
      <c r="D25" s="557">
        <f>[3]Auswertung!O191</f>
        <v>0.210433253178968</v>
      </c>
      <c r="E25" s="665">
        <f>[3]Auswertung!S191</f>
        <v>0.191843843320641</v>
      </c>
    </row>
    <row r="26" spans="3:5">
      <c r="C26" s="828">
        <f t="shared" si="1"/>
        <v>42675</v>
      </c>
      <c r="D26" s="559">
        <f>[3]Auswertung!O192</f>
        <v>0.246219018386297</v>
      </c>
      <c r="E26" s="665"/>
    </row>
    <row r="27" spans="3:5">
      <c r="C27" s="828">
        <f t="shared" si="1"/>
        <v>42705</v>
      </c>
      <c r="D27" s="559">
        <f>[3]Auswertung!O193</f>
        <v>0.192107683596239</v>
      </c>
      <c r="E27" s="665">
        <f>[3]Auswertung!S193</f>
        <v>0.165377976209837</v>
      </c>
    </row>
    <row r="28" spans="3:5">
      <c r="C28" s="828">
        <f t="shared" si="1"/>
        <v>42736</v>
      </c>
      <c r="D28" s="559">
        <f>[3]Auswertung!O194</f>
        <v>0.181955703927578</v>
      </c>
      <c r="E28" s="665">
        <f>[3]Auswertung!S194</f>
        <v>0.172260256004257</v>
      </c>
    </row>
    <row r="29" spans="3:5">
      <c r="C29" s="828">
        <f t="shared" si="1"/>
        <v>42767</v>
      </c>
      <c r="D29" s="559">
        <f>[3]Auswertung!O195</f>
        <v>0.187005382933431</v>
      </c>
      <c r="E29" s="665">
        <f>[3]Auswertung!S195</f>
        <v>0.177026513101529</v>
      </c>
    </row>
    <row r="30" spans="3:14">
      <c r="C30" s="828">
        <f t="shared" si="1"/>
        <v>42795</v>
      </c>
      <c r="D30" s="559">
        <f>[3]Auswertung!O196</f>
        <v>0.151981030756046</v>
      </c>
      <c r="E30" s="665"/>
      <c r="N30" t="s">
        <v>433</v>
      </c>
    </row>
    <row r="31" spans="3:5">
      <c r="C31" s="828">
        <f t="shared" si="1"/>
        <v>42826</v>
      </c>
      <c r="D31" s="559">
        <f>[3]Auswertung!O197</f>
        <v>0.166321312788502</v>
      </c>
      <c r="E31" s="665"/>
    </row>
    <row r="32" spans="3:5">
      <c r="C32" s="828">
        <f t="shared" si="1"/>
        <v>42856</v>
      </c>
      <c r="D32" s="559">
        <f>[3]Auswertung!O198</f>
        <v>0.150497697086317</v>
      </c>
      <c r="E32" s="665">
        <f>[3]Auswertung!S198</f>
        <v>0.146103887280257</v>
      </c>
    </row>
    <row r="33" spans="3:5">
      <c r="C33" s="828">
        <f t="shared" si="1"/>
        <v>42887</v>
      </c>
      <c r="D33" s="559">
        <f>[3]Auswertung!O199</f>
        <v>0.155157767171564</v>
      </c>
      <c r="E33" s="665">
        <f>[3]Auswertung!S199</f>
        <v>0.146036130282551</v>
      </c>
    </row>
    <row r="34" spans="3:5">
      <c r="C34" s="828">
        <f t="shared" si="1"/>
        <v>42917</v>
      </c>
      <c r="D34" s="559">
        <f>[3]Auswertung!O200</f>
        <v>0.154317327185093</v>
      </c>
      <c r="E34" s="665">
        <f>[3]Auswertung!S200</f>
        <v>0.140686396994509</v>
      </c>
    </row>
    <row r="35" spans="3:5">
      <c r="C35" s="828">
        <f t="shared" si="1"/>
        <v>42948</v>
      </c>
      <c r="D35" s="559">
        <f>[3]Auswertung!O201</f>
        <v>0.159832184551373</v>
      </c>
      <c r="E35" s="665"/>
    </row>
    <row r="36" spans="3:5">
      <c r="C36" s="829">
        <f t="shared" si="1"/>
        <v>42979</v>
      </c>
      <c r="D36" s="561">
        <f>[3]Auswertung!O202</f>
        <v>0.164939293186495</v>
      </c>
      <c r="E36" s="666"/>
    </row>
    <row r="37" ht="17.55" spans="3:5">
      <c r="C37" s="562" t="s">
        <v>390</v>
      </c>
      <c r="D37" s="563">
        <f>[3]Auswertung!$O$203</f>
        <v>0.176730637895659</v>
      </c>
      <c r="E37" s="667">
        <f>AVERAGE(E25:E36)</f>
        <v>0.162762143313369</v>
      </c>
    </row>
    <row r="38" ht="17.55"/>
    <row r="46" ht="30.25" customHeight="1" spans="2:12">
      <c r="B46" s="48" t="s">
        <v>391</v>
      </c>
      <c r="C46" s="48" t="s">
        <v>391</v>
      </c>
      <c r="K46" s="218" t="s">
        <v>392</v>
      </c>
      <c r="L46" s="218"/>
    </row>
    <row r="47" ht="84" spans="2:14">
      <c r="B47" s="244" t="s">
        <v>393</v>
      </c>
      <c r="C47" s="244" t="s">
        <v>394</v>
      </c>
      <c r="D47" s="244" t="s">
        <v>395</v>
      </c>
      <c r="E47" s="244" t="s">
        <v>396</v>
      </c>
      <c r="F47" s="244" t="s">
        <v>183</v>
      </c>
      <c r="G47" s="244" t="s">
        <v>184</v>
      </c>
      <c r="H47" s="244" t="s">
        <v>397</v>
      </c>
      <c r="I47" s="244" t="s">
        <v>398</v>
      </c>
      <c r="J47" s="244" t="s">
        <v>399</v>
      </c>
      <c r="K47" s="244" t="s">
        <v>400</v>
      </c>
      <c r="L47" s="244" t="s">
        <v>401</v>
      </c>
      <c r="M47" s="48"/>
      <c r="N47" s="48"/>
    </row>
    <row r="48" ht="34" spans="1:24">
      <c r="A48" s="228" t="s">
        <v>154</v>
      </c>
      <c r="B48" s="564" t="s">
        <v>185</v>
      </c>
      <c r="C48" s="564" t="s">
        <v>185</v>
      </c>
      <c r="D48" s="564" t="s">
        <v>185</v>
      </c>
      <c r="E48" s="564" t="s">
        <v>185</v>
      </c>
      <c r="F48" s="564" t="s">
        <v>59</v>
      </c>
      <c r="G48" s="564" t="s">
        <v>402</v>
      </c>
      <c r="H48" s="564" t="s">
        <v>185</v>
      </c>
      <c r="I48" s="564" t="s">
        <v>403</v>
      </c>
      <c r="J48" s="564" t="s">
        <v>404</v>
      </c>
      <c r="K48" s="564" t="s">
        <v>122</v>
      </c>
      <c r="L48" s="564" t="s">
        <v>122</v>
      </c>
      <c r="M48" s="48"/>
      <c r="N48" s="48"/>
      <c r="X48" s="579"/>
    </row>
    <row r="49" spans="1:12">
      <c r="A49" s="245">
        <f t="shared" ref="A49:A60" si="2">C25</f>
        <v>42644</v>
      </c>
      <c r="B49" s="565">
        <f>[3]Biogas_Nm!E9</f>
        <v>378928.98</v>
      </c>
      <c r="C49" s="565">
        <f t="shared" ref="C49:C60" si="3">B49/(L49/K49)</f>
        <v>384659.474971645</v>
      </c>
      <c r="D49" s="566">
        <f>'[3]Tabellen für Auswertung'!Q123+'[3]Tabellen für Auswertung'!R123</f>
        <v>247773.4857</v>
      </c>
      <c r="E49" s="565">
        <f>'[3]Tabellen für Auswertung'!S123</f>
        <v>247923.4857</v>
      </c>
      <c r="F49" s="830">
        <f t="shared" ref="F49:F60" si="4">B49/K49/J49*100</f>
        <v>98.0056331471136</v>
      </c>
      <c r="G49" s="830">
        <f t="shared" ref="G49:G60" si="5">D49/L49/J49*100</f>
        <v>65.052900047259</v>
      </c>
      <c r="H49" s="573">
        <f t="shared" ref="H49:H60" si="6">E49/L49/J49</f>
        <v>0.650922825299306</v>
      </c>
      <c r="I49" s="544">
        <v>30</v>
      </c>
      <c r="J49" s="544">
        <f t="shared" ref="J49:J60" si="7">I49*24</f>
        <v>720</v>
      </c>
      <c r="K49" s="566">
        <v>537</v>
      </c>
      <c r="L49" s="566">
        <v>529</v>
      </c>
    </row>
    <row r="50" spans="1:12">
      <c r="A50" s="245">
        <f t="shared" si="2"/>
        <v>42675</v>
      </c>
      <c r="B50" s="565">
        <f>[3]Biogas_Nm!E10</f>
        <v>0</v>
      </c>
      <c r="C50" s="565">
        <f t="shared" si="3"/>
        <v>0</v>
      </c>
      <c r="D50" s="566">
        <f>'[3]Tabellen für Auswertung'!Q124+'[3]Tabellen für Auswertung'!R124</f>
        <v>243125.7678</v>
      </c>
      <c r="E50" s="565">
        <f>'[3]Tabellen für Auswertung'!S124</f>
        <v>256125.7678</v>
      </c>
      <c r="F50" s="830">
        <f t="shared" si="4"/>
        <v>0</v>
      </c>
      <c r="G50" s="830">
        <f t="shared" si="5"/>
        <v>61.7735247576072</v>
      </c>
      <c r="H50" s="573">
        <f t="shared" si="6"/>
        <v>0.650765716913633</v>
      </c>
      <c r="I50" s="544">
        <v>31</v>
      </c>
      <c r="J50" s="544">
        <f t="shared" si="7"/>
        <v>744</v>
      </c>
      <c r="K50" s="566">
        <v>537</v>
      </c>
      <c r="L50" s="566">
        <v>529</v>
      </c>
    </row>
    <row r="51" spans="1:12">
      <c r="A51" s="245">
        <f t="shared" si="2"/>
        <v>42705</v>
      </c>
      <c r="B51" s="565">
        <f>[3]Biogas_Nm!E11</f>
        <v>384239.1</v>
      </c>
      <c r="C51" s="565">
        <f t="shared" si="3"/>
        <v>390049.899243856</v>
      </c>
      <c r="D51" s="566">
        <f>'[3]Tabellen für Auswertung'!Q125+'[3]Tabellen für Auswertung'!R125</f>
        <v>267793.5647</v>
      </c>
      <c r="E51" s="565">
        <f>'[3]Tabellen für Auswertung'!S125</f>
        <v>279993.5647</v>
      </c>
      <c r="F51" s="830">
        <f t="shared" si="4"/>
        <v>99.379034761018</v>
      </c>
      <c r="G51" s="830">
        <f t="shared" si="5"/>
        <v>70.3091694759504</v>
      </c>
      <c r="H51" s="573">
        <f t="shared" si="6"/>
        <v>0.735122780665826</v>
      </c>
      <c r="I51" s="544">
        <v>30</v>
      </c>
      <c r="J51" s="544">
        <f t="shared" si="7"/>
        <v>720</v>
      </c>
      <c r="K51" s="566">
        <v>537</v>
      </c>
      <c r="L51" s="566">
        <v>529</v>
      </c>
    </row>
    <row r="52" spans="1:12">
      <c r="A52" s="245">
        <f t="shared" si="2"/>
        <v>42736</v>
      </c>
      <c r="B52" s="565">
        <f>[3]Biogas_Nm!E12</f>
        <v>387086.94</v>
      </c>
      <c r="C52" s="565">
        <f t="shared" si="3"/>
        <v>392940.806767486</v>
      </c>
      <c r="D52" s="566">
        <f>'[3]Tabellen für Auswertung'!Q126+'[3]Tabellen für Auswertung'!R126</f>
        <v>284320.4591</v>
      </c>
      <c r="E52" s="565">
        <f>'[3]Tabellen für Auswertung'!S126</f>
        <v>303660.4591</v>
      </c>
      <c r="F52" s="830">
        <f t="shared" si="4"/>
        <v>96.8860605514507</v>
      </c>
      <c r="G52" s="830">
        <f t="shared" si="5"/>
        <v>72.2402938949529</v>
      </c>
      <c r="H52" s="573">
        <f t="shared" si="6"/>
        <v>0.771542114102486</v>
      </c>
      <c r="I52" s="544">
        <v>31</v>
      </c>
      <c r="J52" s="544">
        <f t="shared" si="7"/>
        <v>744</v>
      </c>
      <c r="K52" s="566">
        <v>537</v>
      </c>
      <c r="L52" s="566">
        <v>529</v>
      </c>
    </row>
    <row r="53" spans="1:12">
      <c r="A53" s="245">
        <f t="shared" si="2"/>
        <v>42767</v>
      </c>
      <c r="B53" s="565">
        <f>[3]Biogas_Nm!E13</f>
        <v>353473.86</v>
      </c>
      <c r="C53" s="565">
        <f t="shared" si="3"/>
        <v>358819.400415879</v>
      </c>
      <c r="D53" s="566">
        <f>'[3]Tabellen für Auswertung'!Q127+'[3]Tabellen für Auswertung'!R127</f>
        <v>247759.2497</v>
      </c>
      <c r="E53" s="565">
        <f>'[3]Tabellen für Auswertung'!S127</f>
        <v>264289.2497</v>
      </c>
      <c r="F53" s="830">
        <f t="shared" si="4"/>
        <v>88.4728629783144</v>
      </c>
      <c r="G53" s="830">
        <f t="shared" si="5"/>
        <v>62.9508023101002</v>
      </c>
      <c r="H53" s="573">
        <f t="shared" si="6"/>
        <v>0.671507535266379</v>
      </c>
      <c r="I53" s="544">
        <v>31</v>
      </c>
      <c r="J53" s="544">
        <f t="shared" si="7"/>
        <v>744</v>
      </c>
      <c r="K53" s="566">
        <v>537</v>
      </c>
      <c r="L53" s="566">
        <v>529</v>
      </c>
    </row>
    <row r="54" spans="1:12">
      <c r="A54" s="245">
        <f t="shared" si="2"/>
        <v>42795</v>
      </c>
      <c r="B54" s="565">
        <f>[3]Biogas_Nm!E14</f>
        <v>395946.66</v>
      </c>
      <c r="C54" s="565">
        <f t="shared" si="3"/>
        <v>401934.511190926</v>
      </c>
      <c r="D54" s="566">
        <f>'[3]Tabellen für Auswertung'!Q128+'[3]Tabellen für Auswertung'!R128</f>
        <v>233067.0311</v>
      </c>
      <c r="E54" s="565">
        <f>'[3]Tabellen für Auswertung'!S128</f>
        <v>237717.0311</v>
      </c>
      <c r="F54" s="830">
        <f t="shared" si="4"/>
        <v>109.721850891194</v>
      </c>
      <c r="G54" s="830">
        <f t="shared" si="5"/>
        <v>65.5625593831578</v>
      </c>
      <c r="H54" s="573">
        <f t="shared" si="6"/>
        <v>0.668706204147538</v>
      </c>
      <c r="I54" s="544">
        <v>28</v>
      </c>
      <c r="J54" s="544">
        <f t="shared" si="7"/>
        <v>672</v>
      </c>
      <c r="K54" s="566">
        <v>537</v>
      </c>
      <c r="L54" s="566">
        <v>529</v>
      </c>
    </row>
    <row r="55" spans="1:12">
      <c r="A55" s="245">
        <f t="shared" si="2"/>
        <v>42826</v>
      </c>
      <c r="B55" s="565">
        <f>[3]Biogas_Nm!E15</f>
        <v>270869.16</v>
      </c>
      <c r="C55" s="565">
        <f t="shared" si="3"/>
        <v>274965.48</v>
      </c>
      <c r="D55" s="566">
        <f>'[3]Tabellen für Auswertung'!Q129+'[3]Tabellen für Auswertung'!R129</f>
        <v>155354.974</v>
      </c>
      <c r="E55" s="565">
        <f>'[3]Tabellen für Auswertung'!S129</f>
        <v>168274.974</v>
      </c>
      <c r="F55" s="830">
        <f t="shared" si="4"/>
        <v>67.7972908031477</v>
      </c>
      <c r="G55" s="830">
        <f t="shared" si="5"/>
        <v>39.4726746549586</v>
      </c>
      <c r="H55" s="573">
        <f t="shared" si="6"/>
        <v>0.427553951460455</v>
      </c>
      <c r="I55" s="544">
        <v>31</v>
      </c>
      <c r="J55" s="544">
        <f t="shared" si="7"/>
        <v>744</v>
      </c>
      <c r="K55" s="566">
        <v>537</v>
      </c>
      <c r="L55" s="566">
        <v>529</v>
      </c>
    </row>
    <row r="56" spans="1:12">
      <c r="A56" s="245">
        <f t="shared" si="2"/>
        <v>42856</v>
      </c>
      <c r="B56" s="565">
        <f>[3]Biogas_Nm!E16</f>
        <v>247157.22</v>
      </c>
      <c r="C56" s="565">
        <f t="shared" si="3"/>
        <v>250894.947334594</v>
      </c>
      <c r="D56" s="566">
        <f>'[3]Tabellen für Auswertung'!Q130+'[3]Tabellen für Auswertung'!R130</f>
        <v>169664.29</v>
      </c>
      <c r="E56" s="565">
        <f>'[3]Tabellen für Auswertung'!S130</f>
        <v>207314.29</v>
      </c>
      <c r="F56" s="830">
        <f t="shared" si="4"/>
        <v>63.9243792675357</v>
      </c>
      <c r="G56" s="830">
        <f t="shared" si="5"/>
        <v>44.5453397395505</v>
      </c>
      <c r="H56" s="573">
        <f t="shared" si="6"/>
        <v>0.544303428901491</v>
      </c>
      <c r="I56" s="544">
        <v>30</v>
      </c>
      <c r="J56" s="544">
        <f t="shared" si="7"/>
        <v>720</v>
      </c>
      <c r="K56" s="566">
        <v>537</v>
      </c>
      <c r="L56" s="566">
        <v>529</v>
      </c>
    </row>
    <row r="57" spans="1:12">
      <c r="A57" s="245">
        <f t="shared" si="2"/>
        <v>42887</v>
      </c>
      <c r="B57" s="565">
        <f>[3]Biogas_Nm!E17</f>
        <v>377007.3</v>
      </c>
      <c r="C57" s="565">
        <f t="shared" si="3"/>
        <v>382708.733648393</v>
      </c>
      <c r="D57" s="566">
        <f>'[3]Tabellen für Auswertung'!Q131+'[3]Tabellen für Auswertung'!R131</f>
        <v>185450.3427</v>
      </c>
      <c r="E57" s="565">
        <f>'[3]Tabellen für Auswertung'!S131</f>
        <v>185460.3427</v>
      </c>
      <c r="F57" s="830">
        <f t="shared" si="4"/>
        <v>94.3631735447828</v>
      </c>
      <c r="G57" s="830">
        <f t="shared" si="5"/>
        <v>47.1193219860967</v>
      </c>
      <c r="H57" s="573">
        <f t="shared" si="6"/>
        <v>0.471218627914303</v>
      </c>
      <c r="I57" s="544">
        <v>31</v>
      </c>
      <c r="J57" s="544">
        <f t="shared" si="7"/>
        <v>744</v>
      </c>
      <c r="K57" s="566">
        <v>537</v>
      </c>
      <c r="L57" s="566">
        <v>529</v>
      </c>
    </row>
    <row r="58" spans="1:12">
      <c r="A58" s="245">
        <f t="shared" si="2"/>
        <v>42917</v>
      </c>
      <c r="B58" s="565">
        <f>[3]Biogas_Nm!E18</f>
        <v>388532.28</v>
      </c>
      <c r="C58" s="565">
        <f t="shared" si="3"/>
        <v>394408.004461248</v>
      </c>
      <c r="D58" s="566">
        <f>'[3]Tabellen für Auswertung'!Q132+'[3]Tabellen für Auswertung'!R132</f>
        <v>224755.6705</v>
      </c>
      <c r="E58" s="565">
        <f>'[3]Tabellen für Auswertung'!S132</f>
        <v>224755.6705</v>
      </c>
      <c r="F58" s="830">
        <f t="shared" si="4"/>
        <v>100.489416511484</v>
      </c>
      <c r="G58" s="830">
        <f t="shared" si="5"/>
        <v>59.0095753255619</v>
      </c>
      <c r="H58" s="573">
        <f t="shared" si="6"/>
        <v>0.590095753255619</v>
      </c>
      <c r="I58" s="544">
        <v>30</v>
      </c>
      <c r="J58" s="544">
        <f t="shared" si="7"/>
        <v>720</v>
      </c>
      <c r="K58" s="566">
        <v>537</v>
      </c>
      <c r="L58" s="566">
        <v>529</v>
      </c>
    </row>
    <row r="59" spans="1:12">
      <c r="A59" s="245">
        <f t="shared" si="2"/>
        <v>42948</v>
      </c>
      <c r="B59" s="565">
        <f>[3]Biogas_Nm!E19</f>
        <v>381919.62</v>
      </c>
      <c r="C59" s="565">
        <f t="shared" si="3"/>
        <v>387695.342041588</v>
      </c>
      <c r="D59" s="566">
        <f>'[3]Tabellen für Auswertung'!Q133+'[3]Tabellen für Auswertung'!R133</f>
        <v>243551.538</v>
      </c>
      <c r="E59" s="565">
        <f>'[3]Tabellen für Auswertung'!S133</f>
        <v>243591.538</v>
      </c>
      <c r="F59" s="830">
        <f t="shared" si="4"/>
        <v>95.5927043911816</v>
      </c>
      <c r="G59" s="830">
        <f t="shared" si="5"/>
        <v>61.8817046771145</v>
      </c>
      <c r="H59" s="573">
        <f t="shared" si="6"/>
        <v>0.618918678984491</v>
      </c>
      <c r="I59" s="544">
        <v>31</v>
      </c>
      <c r="J59" s="544">
        <f t="shared" si="7"/>
        <v>744</v>
      </c>
      <c r="K59" s="566">
        <v>537</v>
      </c>
      <c r="L59" s="566">
        <v>529</v>
      </c>
    </row>
    <row r="60" spans="1:12">
      <c r="A60" s="246">
        <f t="shared" si="2"/>
        <v>42979</v>
      </c>
      <c r="B60" s="567">
        <f>[3]Biogas_Nm!E20</f>
        <v>375235.56</v>
      </c>
      <c r="C60" s="567">
        <f t="shared" si="3"/>
        <v>380910.199848771</v>
      </c>
      <c r="D60" s="568">
        <f>'[3]Tabellen für Auswertung'!Q134+'[3]Tabellen für Auswertung'!R134</f>
        <v>252451.7874</v>
      </c>
      <c r="E60" s="567">
        <f>'[3]Tabellen für Auswertung'!S134</f>
        <v>263311.7874</v>
      </c>
      <c r="F60" s="831">
        <f t="shared" si="4"/>
        <v>97.0503724394786</v>
      </c>
      <c r="G60" s="831">
        <f t="shared" si="5"/>
        <v>66.2811876181474</v>
      </c>
      <c r="H60" s="575">
        <f t="shared" si="6"/>
        <v>0.69132479363579</v>
      </c>
      <c r="I60" s="545">
        <v>30</v>
      </c>
      <c r="J60" s="545">
        <f t="shared" si="7"/>
        <v>720</v>
      </c>
      <c r="K60" s="568">
        <v>537</v>
      </c>
      <c r="L60" s="568">
        <v>529</v>
      </c>
    </row>
    <row r="61" spans="1:12">
      <c r="A61" t="s">
        <v>406</v>
      </c>
      <c r="B61" s="565">
        <f t="shared" ref="B61:H61" si="8">AVERAGE(B49:B60)</f>
        <v>328366.39</v>
      </c>
      <c r="C61" s="565">
        <f t="shared" si="8"/>
        <v>333332.233327032</v>
      </c>
      <c r="D61" s="565">
        <f t="shared" si="8"/>
        <v>229589.013391667</v>
      </c>
      <c r="E61" s="565">
        <f t="shared" si="8"/>
        <v>240201.513391667</v>
      </c>
      <c r="F61" s="576">
        <f t="shared" si="8"/>
        <v>84.3068982738917</v>
      </c>
      <c r="G61" s="576">
        <f t="shared" si="8"/>
        <v>59.6832544892048</v>
      </c>
      <c r="H61" s="573">
        <f t="shared" si="8"/>
        <v>0.62433186754561</v>
      </c>
      <c r="I61" s="544"/>
      <c r="J61" s="544"/>
      <c r="K61" s="544">
        <f>AVERAGE(K49:K60)</f>
        <v>537</v>
      </c>
      <c r="L61" s="544">
        <f>AVERAGE(L49:L60)</f>
        <v>529</v>
      </c>
    </row>
    <row r="62" spans="1:12">
      <c r="A62" t="s">
        <v>386</v>
      </c>
      <c r="B62" s="565">
        <f>SUM(B49:B60)</f>
        <v>3940396.68</v>
      </c>
      <c r="C62" s="565">
        <f>SUM(C49:C60)</f>
        <v>3999986.79992439</v>
      </c>
      <c r="D62" s="565">
        <f>SUM(D49:D60)</f>
        <v>2755068.1607</v>
      </c>
      <c r="E62" s="565">
        <f>SUM(E49:E60)</f>
        <v>2882418.1607</v>
      </c>
      <c r="F62" s="544"/>
      <c r="G62" s="544"/>
      <c r="H62" s="544"/>
      <c r="I62" s="544"/>
      <c r="J62" s="544"/>
      <c r="K62" s="544"/>
      <c r="L62" s="544"/>
    </row>
    <row r="63" spans="6:6">
      <c r="F63" t="s">
        <v>407</v>
      </c>
    </row>
    <row r="64" spans="6:7">
      <c r="F64" s="761">
        <f>(B62+E62)/((K61+L61)*8760)</f>
        <v>0.730638031550113</v>
      </c>
      <c r="G64" t="s">
        <v>408</v>
      </c>
    </row>
    <row r="65" spans="7:7">
      <c r="G65" t="s">
        <v>409</v>
      </c>
    </row>
    <row r="67" spans="6:6">
      <c r="F67">
        <f>B62/K61/8760</f>
        <v>0.837647993673631</v>
      </c>
    </row>
  </sheetData>
  <mergeCells count="1">
    <mergeCell ref="K46:L46"/>
  </mergeCells>
  <pageMargins left="0.7" right="0.7" top="0.787401575" bottom="0.787401575" header="0.3" footer="0.3"/>
  <pageSetup paperSize="9" orientation="portrait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O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421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537</v>
      </c>
      <c r="G3" s="22"/>
      <c r="H3" s="23" t="s">
        <v>187</v>
      </c>
      <c r="I3" s="5" t="s">
        <v>188</v>
      </c>
      <c r="J3" s="35">
        <v>4269951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f>0.95*F3</f>
        <v>510.15</v>
      </c>
      <c r="G4" s="217"/>
      <c r="H4" s="25" t="s">
        <v>187</v>
      </c>
      <c r="I4" s="7" t="s">
        <v>191</v>
      </c>
      <c r="J4" s="37">
        <v>2215000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82.8331430924092</v>
      </c>
      <c r="H6" s="27" t="s">
        <v>195</v>
      </c>
      <c r="I6" s="1"/>
      <c r="J6" s="40">
        <v>864111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7.45642172758251</v>
      </c>
      <c r="H7" s="27" t="s">
        <v>195</v>
      </c>
      <c r="I7" s="1"/>
      <c r="J7" s="40">
        <v>77785</v>
      </c>
      <c r="K7" s="41" t="s">
        <v>196</v>
      </c>
      <c r="L7" s="1"/>
    </row>
    <row r="8" ht="21.75" customHeight="1" spans="1:15">
      <c r="A8" s="1"/>
      <c r="B8" s="11"/>
      <c r="C8" s="1" t="s">
        <v>198</v>
      </c>
      <c r="D8" s="1"/>
      <c r="E8" s="1"/>
      <c r="F8" s="1"/>
      <c r="G8" s="26">
        <v>9.71043518000834</v>
      </c>
      <c r="H8" s="27" t="s">
        <v>195</v>
      </c>
      <c r="I8" s="1"/>
      <c r="J8" s="40">
        <v>111428.63</v>
      </c>
      <c r="K8" s="41" t="s">
        <v>196</v>
      </c>
      <c r="L8" s="1"/>
      <c r="O8" t="s">
        <v>77</v>
      </c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1053324.63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4">
      <c r="A11" s="1"/>
      <c r="B11" s="11"/>
      <c r="C11" s="1" t="s">
        <v>201</v>
      </c>
      <c r="D11" s="1"/>
      <c r="E11" s="1"/>
      <c r="F11" s="1"/>
      <c r="G11" s="26">
        <v>37.1979016272815</v>
      </c>
      <c r="H11" s="27" t="s">
        <v>195</v>
      </c>
      <c r="I11" s="1"/>
      <c r="J11" s="40">
        <v>343432</v>
      </c>
      <c r="K11" s="41" t="s">
        <v>196</v>
      </c>
      <c r="L11" s="1"/>
      <c r="N11" t="s">
        <v>77</v>
      </c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40</v>
      </c>
      <c r="F13" s="15" t="s">
        <v>204</v>
      </c>
      <c r="G13" s="31"/>
      <c r="H13" s="15"/>
      <c r="I13" s="15"/>
      <c r="J13" s="45">
        <v>275872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37.5</v>
      </c>
      <c r="F14" s="15" t="s">
        <v>204</v>
      </c>
      <c r="G14" s="31"/>
      <c r="H14" s="15"/>
      <c r="I14" s="15"/>
      <c r="J14" s="45">
        <v>46976.25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129</v>
      </c>
      <c r="F15" s="15" t="s">
        <v>204</v>
      </c>
      <c r="G15" s="31"/>
      <c r="H15" s="15"/>
      <c r="I15" s="15"/>
      <c r="J15" s="45">
        <v>3547.5</v>
      </c>
      <c r="K15" s="44" t="s">
        <v>196</v>
      </c>
      <c r="L15" s="15"/>
    </row>
    <row r="16" ht="21.75" customHeight="1" spans="1:13">
      <c r="A16" s="1"/>
      <c r="B16" s="11"/>
      <c r="C16" s="1" t="s">
        <v>207</v>
      </c>
      <c r="D16" s="1"/>
      <c r="E16" s="1"/>
      <c r="F16" s="1"/>
      <c r="G16" s="26">
        <v>3.66539573763899</v>
      </c>
      <c r="H16" s="27" t="s">
        <v>195</v>
      </c>
      <c r="I16" s="1"/>
      <c r="J16" s="40">
        <v>33841</v>
      </c>
      <c r="K16" s="41" t="s">
        <v>196</v>
      </c>
      <c r="L16" s="1"/>
      <c r="M16" t="s">
        <v>77</v>
      </c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15.096998300732</v>
      </c>
      <c r="H17" s="27" t="s">
        <v>195</v>
      </c>
      <c r="I17" s="1"/>
      <c r="J17" s="40">
        <v>139384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14.3632237883913</v>
      </c>
      <c r="H18" s="27" t="s">
        <v>195</v>
      </c>
      <c r="I18" s="1"/>
      <c r="J18" s="40">
        <v>132609.38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29.6764805459563</v>
      </c>
      <c r="H19" s="27" t="s">
        <v>195</v>
      </c>
      <c r="I19" s="1"/>
      <c r="J19" s="40">
        <v>273990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4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  <c r="N21" t="s">
        <v>77</v>
      </c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92025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4000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3508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14415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4822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155220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923256.38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24.6683072007149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21.6221773973519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3.04612980336308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130068.25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499984740745262"/>
    <pageSetUpPr fitToPage="1"/>
  </sheetPr>
  <dimension ref="A1:T63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4" width="18.5" style="156" customWidth="1"/>
    <col min="5" max="7" width="11.5" style="156" customWidth="1"/>
    <col min="8" max="8" width="18.163461538461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434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213" t="s">
        <v>422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880" t="s">
        <v>435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82" t="s">
        <v>7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213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436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9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69"/>
      <c r="G14" s="64"/>
      <c r="H14" s="64"/>
      <c r="I14" s="57" t="s">
        <v>248</v>
      </c>
      <c r="J14" s="64"/>
      <c r="K14" s="92">
        <f>'[21]Tabellen für Auswertung'!J16</f>
        <v>10423.430001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2155</v>
      </c>
      <c r="E15" s="69">
        <v>1527</v>
      </c>
      <c r="F15" s="69"/>
      <c r="G15" s="69"/>
      <c r="H15" s="98">
        <f>SUM(D15:G15)</f>
        <v>3682</v>
      </c>
      <c r="I15" s="57" t="s">
        <v>249</v>
      </c>
      <c r="J15" s="64"/>
      <c r="K15" s="168">
        <f>'[21]Tabellen für Auswertung'!J33</f>
        <v>28.953972225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2001</v>
      </c>
      <c r="E16" s="69">
        <v>1376</v>
      </c>
      <c r="F16" s="69"/>
      <c r="G16" s="69"/>
      <c r="H16" s="98">
        <f>SUM(D16:G16)</f>
        <v>3377</v>
      </c>
      <c r="I16" s="56" t="s">
        <v>371</v>
      </c>
      <c r="J16" s="56"/>
      <c r="K16" s="591">
        <f>'[21]Tabellen für Auswertung'!F50*100</f>
        <v>56.4914812056596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69"/>
      <c r="G17" s="70"/>
      <c r="H17" s="98"/>
      <c r="I17" s="56" t="s">
        <v>437</v>
      </c>
      <c r="J17" s="56"/>
      <c r="K17" s="591">
        <f>'[21]Tabellen für Auswertung'!G50*100</f>
        <v>14.1793056590605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600</v>
      </c>
      <c r="F18" s="69"/>
      <c r="G18" s="71"/>
      <c r="H18" s="98">
        <f>SUM(D18:G18)</f>
        <v>600</v>
      </c>
      <c r="I18" s="56" t="s">
        <v>160</v>
      </c>
      <c r="J18" s="56"/>
      <c r="K18" s="591">
        <f>'[21]Tabellen für Auswertung'!C50*100</f>
        <v>13.6606664012076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69"/>
      <c r="G19" s="70"/>
      <c r="H19" s="100"/>
      <c r="I19" s="56" t="s">
        <v>157</v>
      </c>
      <c r="J19" s="56"/>
      <c r="K19" s="591">
        <f>'[21]Tabellen für Auswertung'!H50*100</f>
        <v>10.3309563252853</v>
      </c>
      <c r="L19" s="118" t="s">
        <v>59</v>
      </c>
      <c r="M19" s="822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155</v>
      </c>
      <c r="J20" s="56"/>
      <c r="K20" s="591">
        <f>'[21]Tabellen für Auswertung'!D50*100</f>
        <v>5.06503137594198</v>
      </c>
      <c r="L20" s="118" t="s">
        <v>59</v>
      </c>
      <c r="M20" s="178"/>
    </row>
    <row r="21" ht="15" customHeight="1" spans="1:15">
      <c r="A21" s="157"/>
      <c r="B21" s="66" t="s">
        <v>71</v>
      </c>
      <c r="C21" s="64" t="s">
        <v>59</v>
      </c>
      <c r="D21" s="75">
        <f>[21]Auswertung!$L$182</f>
        <v>12.0194302431893</v>
      </c>
      <c r="E21" s="75">
        <f>[21]Auswertung!O182</f>
        <v>10.950789953529</v>
      </c>
      <c r="F21" s="78"/>
      <c r="G21" s="78"/>
      <c r="H21" s="102"/>
      <c r="I21" s="56" t="s">
        <v>372</v>
      </c>
      <c r="J21" s="56"/>
      <c r="K21" s="591">
        <f>'[21]Tabellen für Auswertung'!E50*100</f>
        <v>0.272559032844989</v>
      </c>
      <c r="L21" s="118" t="s">
        <v>59</v>
      </c>
      <c r="M21" s="178"/>
      <c r="O21" s="823"/>
    </row>
    <row r="22" ht="15" customHeight="1" spans="1:13">
      <c r="A22" s="157"/>
      <c r="B22" s="66" t="s">
        <v>73</v>
      </c>
      <c r="C22" s="64" t="s">
        <v>59</v>
      </c>
      <c r="D22" s="75">
        <f>[21]Auswertung!N182</f>
        <v>73.018878979563</v>
      </c>
      <c r="E22" s="75">
        <f>[21]Auswertung!Q182</f>
        <v>71.5036366239394</v>
      </c>
      <c r="F22" s="78"/>
      <c r="G22" s="78" t="s">
        <v>77</v>
      </c>
      <c r="H22" s="102"/>
      <c r="I22" s="56"/>
      <c r="J22" s="56"/>
      <c r="K22" s="56"/>
      <c r="L22" s="118"/>
      <c r="M22" s="178"/>
    </row>
    <row r="23" ht="15" customHeight="1" spans="1:15">
      <c r="A23" s="157"/>
      <c r="B23" s="66" t="s">
        <v>74</v>
      </c>
      <c r="C23" s="378" t="s">
        <v>75</v>
      </c>
      <c r="D23" s="78"/>
      <c r="E23" s="78"/>
      <c r="F23" s="78"/>
      <c r="G23" s="78"/>
      <c r="H23" s="103" t="s">
        <v>425</v>
      </c>
      <c r="I23" s="534" t="s">
        <v>76</v>
      </c>
      <c r="J23" s="56"/>
      <c r="K23" s="56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8"/>
      <c r="F24" s="78" t="s">
        <v>77</v>
      </c>
      <c r="G24" s="78"/>
      <c r="H24" s="104" t="s">
        <v>426</v>
      </c>
      <c r="I24" s="55" t="s">
        <v>80</v>
      </c>
      <c r="J24" s="56"/>
      <c r="K24" s="591">
        <f>'[21]Tabellen für Auswertung'!J84</f>
        <v>40.8821597146278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8"/>
      <c r="E25" s="78"/>
      <c r="F25" s="78"/>
      <c r="G25" s="78"/>
      <c r="H25" s="174" t="s">
        <v>427</v>
      </c>
      <c r="I25" s="56" t="s">
        <v>83</v>
      </c>
      <c r="J25" s="56"/>
      <c r="K25" s="591">
        <f>'[21]Tabellen für Auswertung'!J101</f>
        <v>88.6051357868761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102" t="s">
        <v>428</v>
      </c>
      <c r="I26" s="56" t="s">
        <v>86</v>
      </c>
      <c r="J26" s="56"/>
      <c r="K26" s="591">
        <f>'[21]Tabellen für Auswertung'!J118</f>
        <v>67.6136142432001</v>
      </c>
      <c r="L26" s="118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78"/>
      <c r="G27" s="78"/>
      <c r="H27" s="103" t="s">
        <v>429</v>
      </c>
      <c r="I27" s="130"/>
      <c r="J27" s="130"/>
      <c r="K27" s="130"/>
      <c r="L27" s="167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78"/>
      <c r="G28" s="78"/>
      <c r="H28" s="103" t="s">
        <v>267</v>
      </c>
      <c r="I28" s="63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5">
        <f>[21]Auswertung!N236</f>
        <v>8.08083333333333</v>
      </c>
      <c r="E29" s="75">
        <f>[21]Auswertung!Q236</f>
        <v>8.16636363636363</v>
      </c>
      <c r="F29" s="78"/>
      <c r="G29" s="78"/>
      <c r="H29" s="78"/>
      <c r="I29" s="66" t="s">
        <v>26</v>
      </c>
      <c r="J29" s="64"/>
      <c r="K29" s="64">
        <v>2</v>
      </c>
      <c r="L29" s="114"/>
    </row>
    <row r="30" ht="15" customHeight="1" spans="1:12">
      <c r="A30" s="157"/>
      <c r="B30" s="66" t="s">
        <v>94</v>
      </c>
      <c r="C30" s="56" t="s">
        <v>95</v>
      </c>
      <c r="D30" s="75">
        <f>'[21]Finales Datenblatt'!K370</f>
        <v>43.5361643835616</v>
      </c>
      <c r="E30" s="75">
        <f>'[21]Finales Datenblatt'!N370</f>
        <v>41.9123287671233</v>
      </c>
      <c r="F30" s="78"/>
      <c r="G30" s="78"/>
      <c r="H30" s="78"/>
      <c r="I30" s="66" t="s">
        <v>96</v>
      </c>
      <c r="J30" s="92"/>
      <c r="K30" s="64">
        <v>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f>[21]Auswertung!L236/1000</f>
        <v>3.65833333333333</v>
      </c>
      <c r="E31" s="75">
        <f>[21]Auswertung!O236/1000</f>
        <v>3.9375</v>
      </c>
      <c r="F31" s="78"/>
      <c r="G31" s="78"/>
      <c r="H31" s="78"/>
      <c r="I31" s="66" t="s">
        <v>99</v>
      </c>
      <c r="J31" s="92"/>
      <c r="K31" s="92">
        <v>7000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f>[21]Auswertung!M236/1000</f>
        <v>6.67638888888889</v>
      </c>
      <c r="E32" s="75">
        <f>[21]Auswertung!P236/1000</f>
        <v>7.04583333333333</v>
      </c>
      <c r="F32" s="78"/>
      <c r="G32" s="78"/>
      <c r="H32" s="78"/>
      <c r="I32" s="66" t="s">
        <v>66</v>
      </c>
      <c r="J32" s="92"/>
      <c r="K32" s="92">
        <v>0</v>
      </c>
      <c r="L32" s="114" t="s">
        <v>55</v>
      </c>
    </row>
    <row r="33" ht="15" customHeight="1" spans="1:18">
      <c r="A33" s="157"/>
      <c r="B33" s="66" t="s">
        <v>101</v>
      </c>
      <c r="C33" s="64" t="s">
        <v>102</v>
      </c>
      <c r="D33" s="77">
        <f>'[21]BGA 12 Laborwerte_DBFZ'!T18</f>
        <v>496</v>
      </c>
      <c r="E33" s="77">
        <f>'[21]BGA 12 Laborwerte_DBFZ'!T31</f>
        <v>206</v>
      </c>
      <c r="F33" s="78"/>
      <c r="G33" s="78"/>
      <c r="H33" s="78" t="s">
        <v>77</v>
      </c>
      <c r="I33" s="57" t="s">
        <v>103</v>
      </c>
      <c r="J33" s="64"/>
      <c r="K33" s="194">
        <v>3.4</v>
      </c>
      <c r="L33" s="114" t="s">
        <v>59</v>
      </c>
      <c r="O33" s="208"/>
      <c r="R33" s="207" t="s">
        <v>438</v>
      </c>
    </row>
    <row r="34" ht="15" customHeight="1" spans="1:16">
      <c r="A34" s="157"/>
      <c r="B34" s="66" t="s">
        <v>104</v>
      </c>
      <c r="C34" s="64" t="s">
        <v>62</v>
      </c>
      <c r="D34" s="80">
        <f>[21]Auswertung!O215</f>
        <v>0.163030379397973</v>
      </c>
      <c r="E34" s="80">
        <f>[21]Auswertung!S215</f>
        <v>0.148811444213823</v>
      </c>
      <c r="F34" s="78"/>
      <c r="G34" s="78"/>
      <c r="H34" s="78"/>
      <c r="I34" s="66" t="s">
        <v>105</v>
      </c>
      <c r="J34" s="64"/>
      <c r="K34" s="194">
        <f>[21]Auswertung!S182</f>
        <v>9.93522771903899</v>
      </c>
      <c r="L34" s="114" t="s">
        <v>59</v>
      </c>
      <c r="M34" s="157" t="s">
        <v>380</v>
      </c>
      <c r="N34" s="210"/>
      <c r="P34" s="211"/>
    </row>
    <row r="35" ht="15" customHeight="1" spans="1:13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94">
        <f>[21]Auswertung!T182</f>
        <v>70.7329466091607</v>
      </c>
      <c r="L35" s="114" t="s">
        <v>59</v>
      </c>
      <c r="M35" s="157" t="s">
        <v>380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70"/>
      <c r="L36" s="167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110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57</v>
      </c>
      <c r="E39" s="64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456" t="s">
        <v>114</v>
      </c>
      <c r="L40" s="103">
        <f>'[21]Finales Datenblatt'!AF370</f>
        <v>52.7076712328767</v>
      </c>
    </row>
    <row r="41" ht="15" customHeight="1" spans="1:12">
      <c r="A41" s="157"/>
      <c r="B41" s="86"/>
      <c r="C41" s="77"/>
      <c r="D41" s="67" t="s">
        <v>419</v>
      </c>
      <c r="E41" s="67"/>
      <c r="F41" s="67"/>
      <c r="G41" s="67"/>
      <c r="H41" s="67"/>
      <c r="I41" s="66"/>
      <c r="J41" s="64" t="s">
        <v>113</v>
      </c>
      <c r="K41" s="78" t="s">
        <v>116</v>
      </c>
      <c r="L41" s="879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78" t="s">
        <v>120</v>
      </c>
      <c r="L42" s="879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537</v>
      </c>
      <c r="E43" s="77"/>
      <c r="F43" s="77"/>
      <c r="G43" s="78"/>
      <c r="H43" s="102"/>
      <c r="I43" s="66"/>
      <c r="J43" s="64" t="s">
        <v>123</v>
      </c>
      <c r="K43" s="456" t="s">
        <v>124</v>
      </c>
      <c r="L43" s="174">
        <f>'[21]Finales Datenblatt'!AJ370</f>
        <v>116.455616438356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565.263157894737</v>
      </c>
      <c r="E44" s="77"/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7">
        <v>38</v>
      </c>
      <c r="E45" s="78"/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7">
        <v>40</v>
      </c>
      <c r="E46" s="78"/>
      <c r="F46" s="78"/>
      <c r="G46" s="78"/>
      <c r="H46" s="102"/>
      <c r="I46" s="66"/>
      <c r="J46" s="64" t="s">
        <v>131</v>
      </c>
      <c r="K46" s="77">
        <f>[21]Auswertung!Q156/'[21]Tabellen für Auswertung'!J16</f>
        <v>217.07028768808</v>
      </c>
      <c r="L46" s="174">
        <f>K46*L40/100</f>
        <v>114.412693578893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7">
        <f>K46/(K24/100*K25/100)</f>
        <v>599.249466150558</v>
      </c>
      <c r="L47" s="174">
        <f>L46/(K24/100*K25/100)</f>
        <v>315.850438483405</v>
      </c>
    </row>
    <row r="48" ht="15" customHeight="1" spans="1:13">
      <c r="A48" s="157"/>
      <c r="B48" s="66" t="s">
        <v>135</v>
      </c>
      <c r="C48" s="64" t="s">
        <v>240</v>
      </c>
      <c r="D48" s="69">
        <f>'[21]Tabellen für Auswertung'!P33</f>
        <v>8486.75</v>
      </c>
      <c r="E48" s="69"/>
      <c r="F48" s="78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71" t="e">
        <f>'[21]Tabellen für Auswertung'!P50/'[22]BGA 12_Datenblatt '!D43</f>
        <v>#REF!</v>
      </c>
      <c r="E49" s="821"/>
      <c r="F49" s="78"/>
      <c r="G49" s="69"/>
      <c r="H49" s="98"/>
      <c r="I49" s="66"/>
      <c r="J49" s="64" t="s">
        <v>139</v>
      </c>
      <c r="K49" s="69">
        <f>'[21]Tabellen für Auswertung'!P50/365</f>
        <v>11943.5178082192</v>
      </c>
      <c r="L49" s="98"/>
    </row>
    <row r="50" ht="15" customHeight="1" spans="1:20">
      <c r="A50" s="157"/>
      <c r="B50" s="57" t="s">
        <v>140</v>
      </c>
      <c r="C50" s="64" t="s">
        <v>59</v>
      </c>
      <c r="D50" s="819" t="e">
        <f>'[21]Tabellen für Auswertung'!P50/('[22]BGA 12_Datenblatt '!D43*8760)*100</f>
        <v>#REF!</v>
      </c>
      <c r="E50" s="821"/>
      <c r="F50" s="78"/>
      <c r="G50" s="78"/>
      <c r="H50" s="102"/>
      <c r="I50" s="66"/>
      <c r="J50" s="64" t="s">
        <v>141</v>
      </c>
      <c r="K50" s="77">
        <f>'[21]Tabellen für Auswertung'!S50/'[21]Tabellen für Auswertung'!J16</f>
        <v>418.229316029538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7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f>'[21]Tabellen für Auswertung'!R84</f>
        <v>510796.997544444</v>
      </c>
      <c r="D55" s="820">
        <v>12</v>
      </c>
      <c r="E55" s="111" t="s">
        <v>147</v>
      </c>
      <c r="F55" s="64"/>
      <c r="G55" s="64" t="s">
        <v>148</v>
      </c>
      <c r="H55" s="64"/>
      <c r="I55" s="69">
        <f>'[21]Tabellen für Auswertung'!P135</f>
        <v>110030</v>
      </c>
      <c r="J55" s="820">
        <v>2</v>
      </c>
      <c r="K55" s="111" t="s">
        <v>149</v>
      </c>
      <c r="L55" s="114"/>
    </row>
    <row r="56" ht="15" customHeight="1" spans="1:12">
      <c r="A56" s="157"/>
      <c r="B56" s="66" t="s">
        <v>430</v>
      </c>
      <c r="C56" s="93">
        <f>'[21]Tabellen für Auswertung'!Q84</f>
        <v>113534.5531</v>
      </c>
      <c r="D56" s="820">
        <v>3</v>
      </c>
      <c r="E56" s="111" t="s">
        <v>147</v>
      </c>
      <c r="F56" s="64"/>
      <c r="G56" s="64" t="s">
        <v>274</v>
      </c>
      <c r="H56" s="64"/>
      <c r="I56" s="69">
        <v>2915268.9562</v>
      </c>
      <c r="J56" s="64">
        <v>63</v>
      </c>
      <c r="K56" s="111" t="s">
        <v>149</v>
      </c>
      <c r="L56" s="114"/>
    </row>
    <row r="57" ht="15" customHeight="1" spans="1:12">
      <c r="A57" s="157"/>
      <c r="B57" s="66" t="s">
        <v>431</v>
      </c>
      <c r="C57" s="93">
        <f>'[21]Tabellen für Auswertung'!P84</f>
        <v>397262.444444444</v>
      </c>
      <c r="D57" s="820">
        <v>9</v>
      </c>
      <c r="E57" s="111" t="s">
        <v>147</v>
      </c>
      <c r="F57" s="64"/>
      <c r="G57" s="64"/>
      <c r="H57" s="64"/>
      <c r="I57" s="69"/>
      <c r="J57" s="594"/>
      <c r="K57" s="111"/>
      <c r="L57" s="114"/>
    </row>
    <row r="58" ht="15" customHeight="1" spans="1:12">
      <c r="A58" s="157"/>
      <c r="B58" s="66"/>
      <c r="C58" s="92"/>
      <c r="D58" s="64"/>
      <c r="E58" s="64"/>
      <c r="F58" s="64"/>
      <c r="G58" s="64"/>
      <c r="H58" s="64"/>
      <c r="I58" s="64"/>
      <c r="J58" s="64"/>
      <c r="K58" s="111"/>
      <c r="L58" s="114"/>
    </row>
    <row r="59" ht="15" customHeight="1" spans="1:12">
      <c r="A59" s="157"/>
      <c r="B59" s="81"/>
      <c r="C59" s="94"/>
      <c r="D59" s="94"/>
      <c r="E59" s="94"/>
      <c r="F59" s="94"/>
      <c r="G59" s="94"/>
      <c r="H59" s="94"/>
      <c r="I59" s="89"/>
      <c r="J59" s="153"/>
      <c r="K59" s="153"/>
      <c r="L59" s="115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ht="16.8" spans="1:8">
      <c r="A62" s="157"/>
      <c r="G62"/>
      <c r="H62"/>
    </row>
    <row r="63" ht="16.8" spans="3:8">
      <c r="C63" s="156" t="s">
        <v>77</v>
      </c>
      <c r="G63"/>
      <c r="H63"/>
    </row>
  </sheetData>
  <mergeCells count="1">
    <mergeCell ref="B2:L2"/>
  </mergeCells>
  <pageMargins left="0.236220472440945" right="0.236220472440945" top="0.748031496062992" bottom="0.748031496062992" header="0.31496062992126" footer="0.31496062992126"/>
  <pageSetup paperSize="9" scale="34" orientation="portrait"/>
  <headerFooter/>
  <ignoredErrors>
    <ignoredError sqref="C5" numberStoredAsText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499984740745262"/>
  </sheetPr>
  <dimension ref="A2:Y71"/>
  <sheetViews>
    <sheetView zoomScale="85" zoomScaleNormal="85" workbookViewId="0">
      <selection activeCell="A1" sqref="A1"/>
    </sheetView>
  </sheetViews>
  <sheetFormatPr defaultColWidth="11.5" defaultRowHeight="16.8"/>
  <cols>
    <col min="2" max="2" width="10.6634615384615" customWidth="1"/>
    <col min="3" max="3" width="12.5" customWidth="1"/>
    <col min="4" max="4" width="13.5" customWidth="1"/>
    <col min="5" max="5" width="12.5" customWidth="1"/>
    <col min="6" max="6" width="13.5" customWidth="1"/>
    <col min="7" max="7" width="12.5" customWidth="1"/>
    <col min="8" max="8" width="13.5" customWidth="1"/>
    <col min="9" max="9" width="10" customWidth="1"/>
    <col min="10" max="10" width="17.5" customWidth="1"/>
  </cols>
  <sheetData>
    <row r="2" spans="1:11">
      <c r="A2" t="s">
        <v>154</v>
      </c>
      <c r="B2" t="s">
        <v>382</v>
      </c>
      <c r="C2" s="544" t="s">
        <v>372</v>
      </c>
      <c r="D2" s="544" t="s">
        <v>437</v>
      </c>
      <c r="E2" s="544" t="s">
        <v>157</v>
      </c>
      <c r="F2" t="s">
        <v>58</v>
      </c>
      <c r="G2" s="544" t="s">
        <v>155</v>
      </c>
      <c r="H2" s="544" t="s">
        <v>160</v>
      </c>
      <c r="I2" s="544" t="s">
        <v>384</v>
      </c>
      <c r="J2" s="544" t="s">
        <v>385</v>
      </c>
      <c r="K2" s="544" t="s">
        <v>386</v>
      </c>
    </row>
    <row r="3" spans="1:25">
      <c r="A3" s="228">
        <f>[19]Auswertung!K3</f>
        <v>0</v>
      </c>
      <c r="B3" s="228" t="str">
        <f>[19]Auswertung!L3</f>
        <v>[%]</v>
      </c>
      <c r="C3" s="545" t="str">
        <f>[19]Auswertung!M3</f>
        <v>[%]</v>
      </c>
      <c r="D3" s="545" t="str">
        <f>[19]Auswertung!N3</f>
        <v>[%]</v>
      </c>
      <c r="E3" s="545" t="str">
        <f>[19]Auswertung!O3</f>
        <v>[%]</v>
      </c>
      <c r="F3" s="545" t="str">
        <f>[19]Auswertung!P3</f>
        <v>[%]</v>
      </c>
      <c r="G3" s="545" t="str">
        <f>[19]Auswertung!Q3</f>
        <v>[%]</v>
      </c>
      <c r="H3" s="545" t="str">
        <f>[19]Auswertung!R3</f>
        <v>[%]</v>
      </c>
      <c r="I3" s="545" t="str">
        <f>[19]Auswertung!U3</f>
        <v>[%]</v>
      </c>
      <c r="J3" s="545" t="str">
        <f>[19]Auswertung!S3</f>
        <v>[t/d]</v>
      </c>
      <c r="K3" s="545"/>
      <c r="X3" s="578" t="s">
        <v>387</v>
      </c>
      <c r="Y3" s="580"/>
    </row>
    <row r="4" spans="1:11">
      <c r="A4" s="800">
        <f>[23]Auswertung!K4</f>
        <v>42644</v>
      </c>
      <c r="B4" s="191"/>
      <c r="C4" s="801">
        <f>[23]Auswertung!M4</f>
        <v>0</v>
      </c>
      <c r="D4" s="801">
        <f>[21]Auswertung!N4</f>
        <v>13.2237827609898</v>
      </c>
      <c r="E4" s="801">
        <f>[21]Auswertung!O4</f>
        <v>10.2278486715398</v>
      </c>
      <c r="F4" s="801">
        <f>[21]Auswertung!P4</f>
        <v>56.0971763884353</v>
      </c>
      <c r="G4" s="801">
        <f>[21]Auswertung!Q4</f>
        <v>12.7721400655501</v>
      </c>
      <c r="H4" s="801">
        <f>[21]Auswertung!R4</f>
        <v>7.36594321240722</v>
      </c>
      <c r="I4" s="804">
        <f>[21]Auswertung!W4</f>
        <v>0.313108901077861</v>
      </c>
      <c r="J4" s="801">
        <f>[21]Auswertung!S4</f>
        <v>29.5956666666667</v>
      </c>
      <c r="K4" s="573">
        <f t="shared" ref="K4:K15" si="0">SUM(B4:I4)</f>
        <v>100</v>
      </c>
    </row>
    <row r="5" spans="1:11">
      <c r="A5" s="800">
        <f>[23]Auswertung!K5</f>
        <v>42675</v>
      </c>
      <c r="B5" s="191"/>
      <c r="C5" s="801">
        <f>[23]Auswertung!M5</f>
        <v>0</v>
      </c>
      <c r="D5" s="801">
        <f>[21]Auswertung!N5</f>
        <v>13.3047482928379</v>
      </c>
      <c r="E5" s="801">
        <f>[21]Auswertung!O5</f>
        <v>10.4578900005294</v>
      </c>
      <c r="F5" s="801">
        <f>[21]Auswertung!P5</f>
        <v>55.6148430469536</v>
      </c>
      <c r="G5" s="801">
        <f>[21]Auswertung!Q5</f>
        <v>20.3472553067598</v>
      </c>
      <c r="H5" s="801">
        <f>[21]Auswertung!R5</f>
        <v>0</v>
      </c>
      <c r="I5" s="804">
        <f>[21]Auswertung!W5</f>
        <v>0.27526335291938</v>
      </c>
      <c r="J5" s="801">
        <f>[21]Auswertung!S5</f>
        <v>31.485</v>
      </c>
      <c r="K5" s="573">
        <f t="shared" si="0"/>
        <v>100</v>
      </c>
    </row>
    <row r="6" spans="1:11">
      <c r="A6" s="800">
        <f>[23]Auswertung!K6</f>
        <v>42705</v>
      </c>
      <c r="B6" s="191"/>
      <c r="C6" s="801">
        <f>[23]Auswertung!M6</f>
        <v>0</v>
      </c>
      <c r="D6" s="801">
        <f>[21]Auswertung!N6</f>
        <v>6.96676205150782</v>
      </c>
      <c r="E6" s="801">
        <f>[21]Auswertung!O6</f>
        <v>10.5139775478759</v>
      </c>
      <c r="F6" s="801">
        <f>[21]Auswertung!P6</f>
        <v>55.4435395113361</v>
      </c>
      <c r="G6" s="801">
        <f>[21]Auswertung!Q6</f>
        <v>16.15562403698</v>
      </c>
      <c r="H6" s="801">
        <f>[21]Auswertung!R6</f>
        <v>10.6075280651552</v>
      </c>
      <c r="I6" s="804">
        <f>[21]Auswertung!W6</f>
        <v>0.312568787145058</v>
      </c>
      <c r="J6" s="801">
        <f>[21]Auswertung!S6</f>
        <v>30.2866666666667</v>
      </c>
      <c r="K6" s="573">
        <f t="shared" si="0"/>
        <v>100</v>
      </c>
    </row>
    <row r="7" spans="1:11">
      <c r="A7" s="800">
        <f>[23]Auswertung!K7</f>
        <v>42736</v>
      </c>
      <c r="B7" s="191"/>
      <c r="C7" s="801">
        <f>[23]Auswertung!M7</f>
        <v>0</v>
      </c>
      <c r="D7" s="801">
        <f>[21]Auswertung!N7</f>
        <v>13.374614387267</v>
      </c>
      <c r="E7" s="801">
        <f>[21]Auswertung!O7</f>
        <v>10.2271203111727</v>
      </c>
      <c r="F7" s="801">
        <f>[21]Auswertung!P7</f>
        <v>55.8590781061385</v>
      </c>
      <c r="G7" s="801">
        <f>[21]Auswertung!Q7</f>
        <v>8.24540617874547</v>
      </c>
      <c r="H7" s="801">
        <f>[21]Auswertung!R7</f>
        <v>11.8835784861627</v>
      </c>
      <c r="I7" s="804">
        <f>[21]Auswertung!W7</f>
        <v>0.410202530513703</v>
      </c>
      <c r="J7" s="801">
        <f>[21]Auswertung!S7</f>
        <v>29.8226666666667</v>
      </c>
      <c r="K7" s="573">
        <f t="shared" si="0"/>
        <v>100</v>
      </c>
    </row>
    <row r="8" spans="1:11">
      <c r="A8" s="800">
        <f>[23]Auswertung!K8</f>
        <v>42767</v>
      </c>
      <c r="B8" s="191"/>
      <c r="C8" s="801">
        <f>[23]Auswertung!M8</f>
        <v>0</v>
      </c>
      <c r="D8" s="801">
        <f>[21]Auswertung!N8</f>
        <v>15.2465412322401</v>
      </c>
      <c r="E8" s="801">
        <f>[21]Auswertung!O8</f>
        <v>10.2797640447942</v>
      </c>
      <c r="F8" s="801">
        <f>[21]Auswertung!P8</f>
        <v>56.6758545386756</v>
      </c>
      <c r="G8" s="801">
        <f>[21]Auswertung!Q8</f>
        <v>0</v>
      </c>
      <c r="H8" s="801">
        <f>[21]Auswertung!R8</f>
        <v>17.3211361003475</v>
      </c>
      <c r="I8" s="804">
        <f>[21]Auswertung!W8</f>
        <v>0.476704083942529</v>
      </c>
      <c r="J8" s="801">
        <f>[21]Auswertung!S8</f>
        <v>25.033</v>
      </c>
      <c r="K8" s="573">
        <f t="shared" si="0"/>
        <v>100</v>
      </c>
    </row>
    <row r="9" spans="1:11">
      <c r="A9" s="800">
        <f>[23]Auswertung!K9</f>
        <v>42795</v>
      </c>
      <c r="B9" s="191"/>
      <c r="C9" s="801">
        <f>[23]Auswertung!M9</f>
        <v>0</v>
      </c>
      <c r="D9" s="801">
        <f>[21]Auswertung!N9</f>
        <v>15.0792653556994</v>
      </c>
      <c r="E9" s="801">
        <f>[21]Auswertung!O9</f>
        <v>10.062616489707</v>
      </c>
      <c r="F9" s="801">
        <f>[21]Auswertung!P9</f>
        <v>57.2511570438315</v>
      </c>
      <c r="G9" s="801">
        <f>[21]Auswertung!Q9</f>
        <v>0</v>
      </c>
      <c r="H9" s="801">
        <f>[21]Auswertung!R9</f>
        <v>17.2101107830203</v>
      </c>
      <c r="I9" s="804">
        <f>[21]Auswertung!W9</f>
        <v>0.396850327741827</v>
      </c>
      <c r="J9" s="801">
        <f>[21]Auswertung!S9</f>
        <v>31.834</v>
      </c>
      <c r="K9" s="573">
        <f t="shared" si="0"/>
        <v>100</v>
      </c>
    </row>
    <row r="10" spans="1:11">
      <c r="A10" s="800">
        <f>[23]Auswertung!K10</f>
        <v>42826</v>
      </c>
      <c r="B10" s="191"/>
      <c r="C10" s="801">
        <f>[23]Auswertung!M10</f>
        <v>0</v>
      </c>
      <c r="D10" s="801">
        <f>[21]Auswertung!N10</f>
        <v>15.3056025021359</v>
      </c>
      <c r="E10" s="801">
        <f>[21]Auswertung!O10</f>
        <v>9.92542336206149</v>
      </c>
      <c r="F10" s="801">
        <f>[21]Auswertung!P10</f>
        <v>57.0755262557895</v>
      </c>
      <c r="G10" s="801">
        <f>[21]Auswertung!Q10</f>
        <v>0</v>
      </c>
      <c r="H10" s="801">
        <f>[21]Auswertung!R10</f>
        <v>17.3124580015836</v>
      </c>
      <c r="I10" s="804">
        <f>[21]Auswertung!W10</f>
        <v>0.3809898784295</v>
      </c>
      <c r="J10" s="801">
        <f>[21]Auswertung!S10</f>
        <v>28.7846667</v>
      </c>
      <c r="K10" s="573">
        <f t="shared" si="0"/>
        <v>100</v>
      </c>
    </row>
    <row r="11" spans="1:11">
      <c r="A11" s="800">
        <f>[23]Auswertung!K11</f>
        <v>42856</v>
      </c>
      <c r="B11" s="191"/>
      <c r="C11" s="801">
        <f>[23]Auswertung!M11</f>
        <v>0</v>
      </c>
      <c r="D11" s="801">
        <f>[21]Auswertung!N11</f>
        <v>16.7893925679477</v>
      </c>
      <c r="E11" s="801">
        <f>[21]Auswertung!O11</f>
        <v>10.3150916163124</v>
      </c>
      <c r="F11" s="801">
        <f>[21]Auswertung!P11</f>
        <v>56.9060841059765</v>
      </c>
      <c r="G11" s="801">
        <f>[21]Auswertung!Q11</f>
        <v>0</v>
      </c>
      <c r="H11" s="801">
        <f>[21]Auswertung!R11</f>
        <v>15.4341071996477</v>
      </c>
      <c r="I11" s="804">
        <f>[21]Auswertung!W11</f>
        <v>0.555324510115713</v>
      </c>
      <c r="J11" s="801">
        <f>[21]Auswertung!S11</f>
        <v>27.2513333333333</v>
      </c>
      <c r="K11" s="573">
        <f t="shared" si="0"/>
        <v>100</v>
      </c>
    </row>
    <row r="12" spans="1:11">
      <c r="A12" s="800">
        <f>[23]Auswertung!K12</f>
        <v>42887</v>
      </c>
      <c r="B12" s="191"/>
      <c r="C12" s="801">
        <f>[23]Auswertung!M12</f>
        <v>0</v>
      </c>
      <c r="D12" s="801">
        <f>[21]Auswertung!N12</f>
        <v>15.4137918578189</v>
      </c>
      <c r="E12" s="801">
        <f>[21]Auswertung!O12</f>
        <v>10.3384748762779</v>
      </c>
      <c r="F12" s="801">
        <f>[21]Auswertung!P12</f>
        <v>56.8604077111103</v>
      </c>
      <c r="G12" s="801">
        <f>[21]Auswertung!Q12</f>
        <v>0.216739515225951</v>
      </c>
      <c r="H12" s="801">
        <f>[21]Auswertung!R12</f>
        <v>16.6720851545473</v>
      </c>
      <c r="I12" s="804">
        <f>[21]Auswertung!W12</f>
        <v>0.498500885019687</v>
      </c>
      <c r="J12" s="801">
        <f>[21]Auswertung!S12</f>
        <v>27.683</v>
      </c>
      <c r="K12" s="573">
        <f t="shared" si="0"/>
        <v>100</v>
      </c>
    </row>
    <row r="13" spans="1:11">
      <c r="A13" s="800">
        <f>[23]Auswertung!K13</f>
        <v>42917</v>
      </c>
      <c r="B13" s="191"/>
      <c r="C13" s="801">
        <f>[23]Auswertung!M13</f>
        <v>1.91835705851918</v>
      </c>
      <c r="D13" s="801">
        <f>[21]Auswertung!N13</f>
        <v>15.3462007266014</v>
      </c>
      <c r="E13" s="801">
        <f>[21]Auswertung!O13</f>
        <v>10.3250772161935</v>
      </c>
      <c r="F13" s="801">
        <f>[21]Auswertung!P13</f>
        <v>54.9625457084364</v>
      </c>
      <c r="G13" s="801">
        <f>[21]Auswertung!Q13</f>
        <v>0</v>
      </c>
      <c r="H13" s="801">
        <f>[21]Auswertung!R13</f>
        <v>17.1236524147072</v>
      </c>
      <c r="I13" s="804">
        <f>[21]Auswertung!W13</f>
        <v>0.480456315160409</v>
      </c>
      <c r="J13" s="801">
        <f>[21]Auswertung!S13</f>
        <v>28.1676666666667</v>
      </c>
      <c r="K13" s="573">
        <f t="shared" si="0"/>
        <v>100.156289439618</v>
      </c>
    </row>
    <row r="14" spans="1:11">
      <c r="A14" s="800">
        <f>[23]Auswertung!K14</f>
        <v>42948</v>
      </c>
      <c r="B14" s="191"/>
      <c r="C14" s="801">
        <f>[23]Auswertung!M14</f>
        <v>1.64856698567618</v>
      </c>
      <c r="D14" s="801">
        <f>[21]Auswertung!N14</f>
        <v>14.9207361251992</v>
      </c>
      <c r="E14" s="801">
        <f>[21]Auswertung!O14</f>
        <v>10.3950152151862</v>
      </c>
      <c r="F14" s="801">
        <f>[21]Auswertung!P14</f>
        <v>55.7553977684394</v>
      </c>
      <c r="G14" s="801">
        <f>[21]Auswertung!Q14</f>
        <v>0</v>
      </c>
      <c r="H14" s="801">
        <f>[21]Auswertung!R14</f>
        <v>17.0073902332995</v>
      </c>
      <c r="I14" s="804">
        <f>[21]Auswertung!W14</f>
        <v>0.354151572235908</v>
      </c>
      <c r="J14" s="801">
        <f>[21]Auswertung!S14</f>
        <v>28.7541666666667</v>
      </c>
      <c r="K14" s="573">
        <f t="shared" si="0"/>
        <v>100.081257900036</v>
      </c>
    </row>
    <row r="15" spans="1:11">
      <c r="A15" s="802">
        <f>[23]Auswertung!K15</f>
        <v>42979</v>
      </c>
      <c r="B15" s="247"/>
      <c r="C15" s="803">
        <f>[23]Auswertung!M15</f>
        <v>0</v>
      </c>
      <c r="D15" s="803">
        <f>[21]Auswertung!N15</f>
        <v>15.2079361131836</v>
      </c>
      <c r="E15" s="803">
        <f>[21]Auswertung!O15</f>
        <v>10.4009505650888</v>
      </c>
      <c r="F15" s="803">
        <f>[21]Auswertung!P15</f>
        <v>56.7387880295117</v>
      </c>
      <c r="G15" s="803">
        <f>[21]Auswertung!Q15</f>
        <v>0</v>
      </c>
      <c r="H15" s="803">
        <f>[21]Auswertung!R15</f>
        <v>17.222913039874</v>
      </c>
      <c r="I15" s="818">
        <f>[21]Auswertung!W15</f>
        <v>0.429412252341872</v>
      </c>
      <c r="J15" s="803">
        <f>[21]Auswertung!S15</f>
        <v>30.1575</v>
      </c>
      <c r="K15" s="575">
        <f t="shared" si="0"/>
        <v>100</v>
      </c>
    </row>
    <row r="16" spans="1:11">
      <c r="A16" s="219" t="str">
        <f>[23]Auswertung!K16</f>
        <v>Jahresmenge</v>
      </c>
      <c r="B16" s="191"/>
      <c r="C16" s="804">
        <f>[21]Auswertung!$M$16</f>
        <v>0.272559032844989</v>
      </c>
      <c r="D16" s="801">
        <f>[21]Auswertung!N16</f>
        <v>14.1793056590605</v>
      </c>
      <c r="E16" s="801">
        <f>[21]Auswertung!O16</f>
        <v>10.3309563252853</v>
      </c>
      <c r="F16" s="801">
        <f>[21]Auswertung!P16</f>
        <v>56.4914812056596</v>
      </c>
      <c r="G16" s="801">
        <f>[21]Auswertung!Q16</f>
        <v>5.06503137594198</v>
      </c>
      <c r="H16" s="801">
        <f>[21]Auswertung!R16</f>
        <v>13.6606664012076</v>
      </c>
      <c r="I16" s="804">
        <f>[21]Auswertung!W16</f>
        <v>0.202162947241631</v>
      </c>
      <c r="J16" s="801">
        <f>[21]Auswertung!S16</f>
        <v>58.0252500055556</v>
      </c>
      <c r="K16" s="573">
        <f>AVERAGE(K4:K15)</f>
        <v>100.019795611638</v>
      </c>
    </row>
    <row r="17" spans="3:11">
      <c r="C17" s="544"/>
      <c r="D17" s="544"/>
      <c r="E17" s="544"/>
      <c r="F17" s="544"/>
      <c r="G17" s="544"/>
      <c r="H17" s="544"/>
      <c r="I17" s="544"/>
      <c r="J17" s="544"/>
      <c r="K17" s="544"/>
    </row>
    <row r="20" spans="3:5">
      <c r="C20" s="544"/>
      <c r="D20" s="544"/>
      <c r="E20" s="544"/>
    </row>
    <row r="21" spans="3:5">
      <c r="C21" s="544"/>
      <c r="D21" s="544"/>
      <c r="E21" s="544"/>
    </row>
    <row r="22" spans="3:5">
      <c r="C22" s="551" t="s">
        <v>104</v>
      </c>
      <c r="D22" s="552" t="s">
        <v>22</v>
      </c>
      <c r="E22" s="552" t="s">
        <v>23</v>
      </c>
    </row>
    <row r="23" ht="34" spans="2:5">
      <c r="B23" s="219"/>
      <c r="C23" s="552"/>
      <c r="D23" s="553" t="s">
        <v>388</v>
      </c>
      <c r="E23" s="569" t="s">
        <v>388</v>
      </c>
    </row>
    <row r="24" spans="2:5">
      <c r="B24" s="219"/>
      <c r="C24" s="554"/>
      <c r="D24" s="555" t="s">
        <v>389</v>
      </c>
      <c r="E24" s="570" t="s">
        <v>389</v>
      </c>
    </row>
    <row r="25" spans="3:5">
      <c r="C25" s="805">
        <f t="shared" ref="C25:C36" si="1">A4</f>
        <v>42644</v>
      </c>
      <c r="D25" s="806">
        <f>[21]Auswertung!O203</f>
        <v>0.171996484664699</v>
      </c>
      <c r="E25" s="816">
        <f>[21]Auswertung!S203</f>
        <v>0.156751471853473</v>
      </c>
    </row>
    <row r="26" spans="3:5">
      <c r="C26" s="807">
        <f t="shared" si="1"/>
        <v>42675</v>
      </c>
      <c r="D26" s="808">
        <f>[21]Auswertung!O204</f>
        <v>0.185332609401431</v>
      </c>
      <c r="E26" s="816"/>
    </row>
    <row r="27" spans="3:5">
      <c r="C27" s="807">
        <f t="shared" si="1"/>
        <v>42705</v>
      </c>
      <c r="D27" s="808">
        <f>[21]Auswertung!O205</f>
        <v>0.172292653647832</v>
      </c>
      <c r="E27" s="816">
        <f>[21]Auswertung!S205</f>
        <v>0.152102317410452</v>
      </c>
    </row>
    <row r="28" spans="3:5">
      <c r="C28" s="807">
        <f t="shared" si="1"/>
        <v>42736</v>
      </c>
      <c r="D28" s="808">
        <f>[21]Auswertung!O206</f>
        <v>0.159407219310475</v>
      </c>
      <c r="E28" s="816">
        <f>[21]Auswertung!S206</f>
        <v>0.150075142816832</v>
      </c>
    </row>
    <row r="29" spans="3:5">
      <c r="C29" s="807">
        <f t="shared" si="1"/>
        <v>42767</v>
      </c>
      <c r="D29" s="808">
        <f>[21]Auswertung!O207</f>
        <v>0.162694421700118</v>
      </c>
      <c r="E29" s="816">
        <f>[21]Auswertung!S207</f>
        <v>0.148461060143124</v>
      </c>
    </row>
    <row r="30" spans="3:14">
      <c r="C30" s="807">
        <f t="shared" si="1"/>
        <v>42795</v>
      </c>
      <c r="D30" s="808">
        <f>[21]Auswertung!O208</f>
        <v>0.14698254406442</v>
      </c>
      <c r="E30" s="816"/>
      <c r="N30" t="s">
        <v>433</v>
      </c>
    </row>
    <row r="31" spans="3:5">
      <c r="C31" s="807">
        <f t="shared" si="1"/>
        <v>42826</v>
      </c>
      <c r="D31" s="808">
        <f>[21]Auswertung!O209</f>
        <v>0.153233664983484</v>
      </c>
      <c r="E31" s="816"/>
    </row>
    <row r="32" spans="3:5">
      <c r="C32" s="807">
        <f t="shared" si="1"/>
        <v>42856</v>
      </c>
      <c r="D32" s="808">
        <f>[21]Auswertung!O210</f>
        <v>0.159644728280571</v>
      </c>
      <c r="E32" s="816">
        <f>[21]Auswertung!S210</f>
        <v>0.143964295336928</v>
      </c>
    </row>
    <row r="33" spans="3:5">
      <c r="C33" s="807">
        <f t="shared" si="1"/>
        <v>42887</v>
      </c>
      <c r="D33" s="808">
        <f>[21]Auswertung!O211</f>
        <v>0.185795606327754</v>
      </c>
      <c r="E33" s="816">
        <f>[21]Auswertung!S211</f>
        <v>0.154405918546394</v>
      </c>
    </row>
    <row r="34" spans="3:5">
      <c r="C34" s="807">
        <f t="shared" si="1"/>
        <v>42917</v>
      </c>
      <c r="D34" s="808">
        <f>[21]Auswertung!O212</f>
        <v>0.156697455623482</v>
      </c>
      <c r="E34" s="816">
        <f>[21]Auswertung!S212</f>
        <v>0.13591990338956</v>
      </c>
    </row>
    <row r="35" spans="3:5">
      <c r="C35" s="807">
        <f t="shared" si="1"/>
        <v>42948</v>
      </c>
      <c r="D35" s="808">
        <f>[21]Auswertung!O213</f>
        <v>0.163539353843403</v>
      </c>
      <c r="E35" s="816"/>
    </row>
    <row r="36" spans="3:5">
      <c r="C36" s="809">
        <f t="shared" si="1"/>
        <v>42979</v>
      </c>
      <c r="D36" s="810">
        <f>[21]Auswertung!O214</f>
        <v>0.138747810928012</v>
      </c>
      <c r="E36" s="817">
        <f>[21]Auswertung!S214</f>
        <v>0</v>
      </c>
    </row>
    <row r="37" ht="17.55" spans="3:5">
      <c r="C37" s="811" t="s">
        <v>390</v>
      </c>
      <c r="D37" s="812">
        <f>[21]Auswertung!O215</f>
        <v>0.163030379397973</v>
      </c>
      <c r="E37" s="571">
        <f>[21]Auswertung!S215</f>
        <v>0.148811444213823</v>
      </c>
    </row>
    <row r="38" ht="17.55"/>
    <row r="46" ht="30.25" customHeight="1" spans="1:13">
      <c r="A46" s="544"/>
      <c r="B46" s="244" t="s">
        <v>391</v>
      </c>
      <c r="C46" s="244" t="s">
        <v>391</v>
      </c>
      <c r="D46" s="544"/>
      <c r="E46" s="544"/>
      <c r="F46" s="544"/>
      <c r="G46" s="544"/>
      <c r="H46" s="544"/>
      <c r="I46" s="544"/>
      <c r="J46" s="544"/>
      <c r="K46" s="577" t="s">
        <v>392</v>
      </c>
      <c r="L46" s="577"/>
      <c r="M46" s="544"/>
    </row>
    <row r="47" ht="84" spans="1:14">
      <c r="A47" s="544"/>
      <c r="B47" s="244" t="s">
        <v>393</v>
      </c>
      <c r="C47" s="244" t="s">
        <v>394</v>
      </c>
      <c r="D47" s="244" t="s">
        <v>395</v>
      </c>
      <c r="E47" s="244" t="s">
        <v>396</v>
      </c>
      <c r="F47" s="244" t="s">
        <v>183</v>
      </c>
      <c r="G47" s="244" t="s">
        <v>184</v>
      </c>
      <c r="H47" s="244" t="s">
        <v>397</v>
      </c>
      <c r="I47" s="244" t="s">
        <v>398</v>
      </c>
      <c r="J47" s="244" t="s">
        <v>399</v>
      </c>
      <c r="K47" s="244" t="s">
        <v>400</v>
      </c>
      <c r="L47" s="244" t="s">
        <v>401</v>
      </c>
      <c r="M47" s="244"/>
      <c r="N47" s="48"/>
    </row>
    <row r="48" ht="34" spans="1:24">
      <c r="A48" s="545" t="s">
        <v>154</v>
      </c>
      <c r="B48" s="564" t="s">
        <v>185</v>
      </c>
      <c r="C48" s="564" t="s">
        <v>185</v>
      </c>
      <c r="D48" s="564" t="s">
        <v>185</v>
      </c>
      <c r="E48" s="564" t="s">
        <v>185</v>
      </c>
      <c r="F48" s="564" t="s">
        <v>59</v>
      </c>
      <c r="G48" s="564" t="s">
        <v>402</v>
      </c>
      <c r="H48" s="564" t="s">
        <v>185</v>
      </c>
      <c r="I48" s="564" t="s">
        <v>403</v>
      </c>
      <c r="J48" s="564" t="s">
        <v>404</v>
      </c>
      <c r="K48" s="564" t="s">
        <v>122</v>
      </c>
      <c r="L48" s="564" t="s">
        <v>122</v>
      </c>
      <c r="M48" s="244"/>
      <c r="N48" s="48"/>
      <c r="X48" s="579"/>
    </row>
    <row r="49" spans="1:13">
      <c r="A49" s="800">
        <f t="shared" ref="A49:A60" si="2">C25</f>
        <v>42644</v>
      </c>
      <c r="B49" s="813">
        <f>[21]Biogas_Nm!E9</f>
        <v>377349</v>
      </c>
      <c r="C49" s="565">
        <f t="shared" ref="C49:C60" si="3">B49/(L49/K49)</f>
        <v>358648.518584071</v>
      </c>
      <c r="D49" s="814">
        <f>'[21]Tabellen für Auswertung'!Q123+'[21]Tabellen für Auswertung'!R123</f>
        <v>263805.7319</v>
      </c>
      <c r="E49" s="813">
        <f>'[21]Tabellen für Auswertung'!S123</f>
        <v>272965.7319</v>
      </c>
      <c r="F49" s="572">
        <f t="shared" ref="F49:F60" si="4">B49/K49/J49*100</f>
        <v>97.5969894475481</v>
      </c>
      <c r="G49" s="572">
        <f t="shared" ref="G49:G60" si="5">D49/L49/J49*100</f>
        <v>64.8489999754179</v>
      </c>
      <c r="H49" s="573">
        <f t="shared" ref="H49:H60" si="6">E49/L49/J49</f>
        <v>0.671007207227139</v>
      </c>
      <c r="I49" s="544">
        <v>30</v>
      </c>
      <c r="J49" s="544">
        <f t="shared" ref="J49:J60" si="7">I49*24</f>
        <v>720</v>
      </c>
      <c r="K49" s="566">
        <v>537</v>
      </c>
      <c r="L49" s="566">
        <v>565</v>
      </c>
      <c r="M49" s="544"/>
    </row>
    <row r="50" spans="1:13">
      <c r="A50" s="800">
        <f t="shared" si="2"/>
        <v>42675</v>
      </c>
      <c r="B50" s="813">
        <f>[21]Biogas_Nm!E10</f>
        <v>377410.2</v>
      </c>
      <c r="C50" s="565">
        <f t="shared" si="3"/>
        <v>358706.685663717</v>
      </c>
      <c r="D50" s="814">
        <f>'[21]Tabellen für Auswertung'!Q124+'[21]Tabellen für Auswertung'!R124</f>
        <v>270181.671</v>
      </c>
      <c r="E50" s="813">
        <f>'[21]Tabellen für Auswertung'!S124</f>
        <v>287401.671</v>
      </c>
      <c r="F50" s="572">
        <f t="shared" si="4"/>
        <v>94.464017540698</v>
      </c>
      <c r="G50" s="572">
        <f t="shared" si="5"/>
        <v>64.2738773908079</v>
      </c>
      <c r="H50" s="573">
        <f t="shared" si="6"/>
        <v>0.683703661147588</v>
      </c>
      <c r="I50" s="544">
        <v>31</v>
      </c>
      <c r="J50" s="544">
        <f t="shared" si="7"/>
        <v>744</v>
      </c>
      <c r="K50" s="566">
        <v>537</v>
      </c>
      <c r="L50" s="566">
        <v>565</v>
      </c>
      <c r="M50" s="544"/>
    </row>
    <row r="51" spans="1:13">
      <c r="A51" s="800">
        <f t="shared" si="2"/>
        <v>42705</v>
      </c>
      <c r="B51" s="813">
        <f>[21]Biogas_Nm!E11</f>
        <v>388327.26</v>
      </c>
      <c r="C51" s="565">
        <f t="shared" si="3"/>
        <v>369082.723221239</v>
      </c>
      <c r="D51" s="814">
        <f>'[21]Tabellen für Auswertung'!Q125+'[21]Tabellen für Auswertung'!R125</f>
        <v>296663.7444</v>
      </c>
      <c r="E51" s="813">
        <f>'[21]Tabellen für Auswertung'!S125</f>
        <v>322763.7444</v>
      </c>
      <c r="F51" s="572">
        <f t="shared" si="4"/>
        <v>100.43639044072</v>
      </c>
      <c r="G51" s="572">
        <f t="shared" si="5"/>
        <v>72.9261908554572</v>
      </c>
      <c r="H51" s="573">
        <f t="shared" si="6"/>
        <v>0.79342120058997</v>
      </c>
      <c r="I51" s="544">
        <v>30</v>
      </c>
      <c r="J51" s="544">
        <f t="shared" si="7"/>
        <v>720</v>
      </c>
      <c r="K51" s="566">
        <v>537</v>
      </c>
      <c r="L51" s="566">
        <v>565</v>
      </c>
      <c r="M51" s="544"/>
    </row>
    <row r="52" spans="1:13">
      <c r="A52" s="800">
        <f t="shared" si="2"/>
        <v>42736</v>
      </c>
      <c r="B52" s="813">
        <f>[21]Biogas_Nm!E12</f>
        <v>390671.22</v>
      </c>
      <c r="C52" s="565">
        <f t="shared" si="3"/>
        <v>371310.522371681</v>
      </c>
      <c r="D52" s="814">
        <f>'[21]Tabellen für Auswertung'!Q126+'[21]Tabellen für Auswertung'!R126</f>
        <v>304165.246</v>
      </c>
      <c r="E52" s="813">
        <f>'[21]Tabellen für Auswertung'!S126</f>
        <v>326225.246</v>
      </c>
      <c r="F52" s="572">
        <f t="shared" si="4"/>
        <v>97.7831891632126</v>
      </c>
      <c r="G52" s="572">
        <f t="shared" si="5"/>
        <v>72.3582752878485</v>
      </c>
      <c r="H52" s="573">
        <f t="shared" si="6"/>
        <v>0.776061580550005</v>
      </c>
      <c r="I52" s="544">
        <v>31</v>
      </c>
      <c r="J52" s="544">
        <f t="shared" si="7"/>
        <v>744</v>
      </c>
      <c r="K52" s="566">
        <v>537</v>
      </c>
      <c r="L52" s="566">
        <v>565</v>
      </c>
      <c r="M52" s="544"/>
    </row>
    <row r="53" spans="1:13">
      <c r="A53" s="800">
        <f t="shared" si="2"/>
        <v>42767</v>
      </c>
      <c r="B53" s="813">
        <f>[21]Biogas_Nm!E13</f>
        <v>318279.78</v>
      </c>
      <c r="C53" s="565">
        <f t="shared" si="3"/>
        <v>302506.622761062</v>
      </c>
      <c r="D53" s="814">
        <f>'[21]Tabellen für Auswertung'!Q127+'[21]Tabellen für Auswertung'!R127</f>
        <v>245170.6471</v>
      </c>
      <c r="E53" s="813">
        <f>'[21]Tabellen für Auswertung'!S127</f>
        <v>258490.6471</v>
      </c>
      <c r="F53" s="572">
        <f t="shared" si="4"/>
        <v>79.6639484591818</v>
      </c>
      <c r="G53" s="572">
        <f t="shared" si="5"/>
        <v>58.3239716195641</v>
      </c>
      <c r="H53" s="573">
        <f t="shared" si="6"/>
        <v>0.614926841516795</v>
      </c>
      <c r="I53" s="544">
        <v>31</v>
      </c>
      <c r="J53" s="544">
        <f t="shared" si="7"/>
        <v>744</v>
      </c>
      <c r="K53" s="566">
        <v>537</v>
      </c>
      <c r="L53" s="566">
        <v>565</v>
      </c>
      <c r="M53" s="544"/>
    </row>
    <row r="54" spans="1:13">
      <c r="A54" s="800">
        <f t="shared" si="2"/>
        <v>42795</v>
      </c>
      <c r="B54" s="813">
        <f>[21]Biogas_Nm!E14</f>
        <v>385880.28</v>
      </c>
      <c r="C54" s="565">
        <f t="shared" si="3"/>
        <v>366757.009486726</v>
      </c>
      <c r="D54" s="814">
        <f>'[21]Tabellen für Auswertung'!Q128+'[21]Tabellen für Auswertung'!R128</f>
        <v>253840.0076</v>
      </c>
      <c r="E54" s="813">
        <f>'[21]Tabellen für Auswertung'!S128</f>
        <v>259590.0076</v>
      </c>
      <c r="F54" s="572">
        <f t="shared" si="4"/>
        <v>106.932329076882</v>
      </c>
      <c r="G54" s="572">
        <f t="shared" si="5"/>
        <v>66.8563020438264</v>
      </c>
      <c r="H54" s="573">
        <f t="shared" si="6"/>
        <v>0.683707352507375</v>
      </c>
      <c r="I54" s="544">
        <v>28</v>
      </c>
      <c r="J54" s="544">
        <f t="shared" si="7"/>
        <v>672</v>
      </c>
      <c r="K54" s="566">
        <v>537</v>
      </c>
      <c r="L54" s="566">
        <v>565</v>
      </c>
      <c r="M54" s="544"/>
    </row>
    <row r="55" spans="1:13">
      <c r="A55" s="800">
        <f t="shared" si="2"/>
        <v>42826</v>
      </c>
      <c r="B55" s="813">
        <f>[21]Biogas_Nm!E15</f>
        <v>364451.1</v>
      </c>
      <c r="C55" s="565">
        <f t="shared" si="3"/>
        <v>346389.806548673</v>
      </c>
      <c r="D55" s="814">
        <f>'[21]Tabellen für Auswertung'!Q129+'[21]Tabellen für Auswertung'!R129</f>
        <v>250757.719</v>
      </c>
      <c r="E55" s="813">
        <f>'[21]Tabellen für Auswertung'!S129</f>
        <v>254797.719</v>
      </c>
      <c r="F55" s="572">
        <f t="shared" si="4"/>
        <v>91.220415089806</v>
      </c>
      <c r="G55" s="572">
        <f t="shared" si="5"/>
        <v>59.6530875915881</v>
      </c>
      <c r="H55" s="573">
        <f t="shared" si="6"/>
        <v>0.606141685697973</v>
      </c>
      <c r="I55" s="544">
        <v>31</v>
      </c>
      <c r="J55" s="544">
        <f t="shared" si="7"/>
        <v>744</v>
      </c>
      <c r="K55" s="566">
        <v>537</v>
      </c>
      <c r="L55" s="566">
        <v>565</v>
      </c>
      <c r="M55" s="544"/>
    </row>
    <row r="56" spans="1:13">
      <c r="A56" s="800">
        <f t="shared" si="2"/>
        <v>42856</v>
      </c>
      <c r="B56" s="813">
        <f>[21]Biogas_Nm!E16</f>
        <v>278593.62</v>
      </c>
      <c r="C56" s="565">
        <f t="shared" si="3"/>
        <v>264787.210513274</v>
      </c>
      <c r="D56" s="814">
        <f>'[21]Tabellen für Auswertung'!Q130+'[21]Tabellen für Auswertung'!R130</f>
        <v>202316.7532</v>
      </c>
      <c r="E56" s="813">
        <f>'[21]Tabellen für Auswertung'!S130</f>
        <v>208816.7532</v>
      </c>
      <c r="F56" s="572">
        <f t="shared" si="4"/>
        <v>72.0550434512725</v>
      </c>
      <c r="G56" s="572">
        <f t="shared" si="5"/>
        <v>49.7337151425762</v>
      </c>
      <c r="H56" s="573">
        <f t="shared" si="6"/>
        <v>0.513315519174041</v>
      </c>
      <c r="I56" s="544">
        <v>30</v>
      </c>
      <c r="J56" s="544">
        <f t="shared" si="7"/>
        <v>720</v>
      </c>
      <c r="K56" s="566">
        <v>537</v>
      </c>
      <c r="L56" s="566">
        <v>565</v>
      </c>
      <c r="M56" s="544"/>
    </row>
    <row r="57" spans="1:13">
      <c r="A57" s="800">
        <f t="shared" si="2"/>
        <v>42887</v>
      </c>
      <c r="B57" s="813">
        <f>[21]Biogas_Nm!E17</f>
        <v>371952.18</v>
      </c>
      <c r="C57" s="565">
        <f t="shared" si="3"/>
        <v>353519.15161062</v>
      </c>
      <c r="D57" s="814">
        <f>'[21]Tabellen für Auswertung'!Q131+'[21]Tabellen für Auswertung'!R131</f>
        <v>212416.6317</v>
      </c>
      <c r="E57" s="813">
        <f>'[21]Tabellen für Auswertung'!S131</f>
        <v>212426.6317</v>
      </c>
      <c r="F57" s="572">
        <f t="shared" si="4"/>
        <v>93.0979005226167</v>
      </c>
      <c r="G57" s="572">
        <f t="shared" si="5"/>
        <v>50.5320752926063</v>
      </c>
      <c r="H57" s="573">
        <f t="shared" si="6"/>
        <v>0.505344542059187</v>
      </c>
      <c r="I57" s="544">
        <v>31</v>
      </c>
      <c r="J57" s="544">
        <f t="shared" si="7"/>
        <v>744</v>
      </c>
      <c r="K57" s="566">
        <v>537</v>
      </c>
      <c r="L57" s="566">
        <v>565</v>
      </c>
      <c r="M57" s="544"/>
    </row>
    <row r="58" spans="1:13">
      <c r="A58" s="800">
        <f t="shared" si="2"/>
        <v>42917</v>
      </c>
      <c r="B58" s="813">
        <f>[21]Biogas_Nm!E18</f>
        <v>388345.62</v>
      </c>
      <c r="C58" s="565">
        <f t="shared" si="3"/>
        <v>369100.173345133</v>
      </c>
      <c r="D58" s="814">
        <f>'[21]Tabellen für Auswertung'!Q132+'[21]Tabellen für Auswertung'!R132</f>
        <v>215673.3515</v>
      </c>
      <c r="E58" s="813">
        <f>'[21]Tabellen für Auswertung'!S132</f>
        <v>215673.3515</v>
      </c>
      <c r="F58" s="572">
        <f t="shared" si="4"/>
        <v>100.441139044072</v>
      </c>
      <c r="G58" s="572">
        <f t="shared" si="5"/>
        <v>53.0170480580137</v>
      </c>
      <c r="H58" s="573">
        <f t="shared" si="6"/>
        <v>0.530170480580137</v>
      </c>
      <c r="I58" s="544">
        <v>30</v>
      </c>
      <c r="J58" s="544">
        <f t="shared" si="7"/>
        <v>720</v>
      </c>
      <c r="K58" s="566">
        <v>537</v>
      </c>
      <c r="L58" s="566">
        <v>565</v>
      </c>
      <c r="M58" s="544"/>
    </row>
    <row r="59" spans="1:13">
      <c r="A59" s="800">
        <f t="shared" si="2"/>
        <v>42948</v>
      </c>
      <c r="B59" s="813">
        <f>[21]Biogas_Nm!E19</f>
        <v>387613.26</v>
      </c>
      <c r="C59" s="565">
        <f t="shared" si="3"/>
        <v>368404.107292035</v>
      </c>
      <c r="D59" s="814">
        <f>'[21]Tabellen für Auswertung'!Q133+'[21]Tabellen für Auswertung'!R133</f>
        <v>196610.071</v>
      </c>
      <c r="E59" s="813">
        <f>'[21]Tabellen für Auswertung'!S133</f>
        <v>196610.071</v>
      </c>
      <c r="F59" s="572">
        <f t="shared" si="4"/>
        <v>97.0177959992792</v>
      </c>
      <c r="G59" s="572">
        <f t="shared" si="5"/>
        <v>46.7718315253592</v>
      </c>
      <c r="H59" s="573">
        <f t="shared" si="6"/>
        <v>0.467718315253592</v>
      </c>
      <c r="I59" s="544">
        <v>31</v>
      </c>
      <c r="J59" s="544">
        <f t="shared" si="7"/>
        <v>744</v>
      </c>
      <c r="K59" s="566">
        <v>537</v>
      </c>
      <c r="L59" s="566">
        <v>565</v>
      </c>
      <c r="M59" s="544"/>
    </row>
    <row r="60" spans="1:13">
      <c r="A60" s="802">
        <f t="shared" si="2"/>
        <v>42979</v>
      </c>
      <c r="B60" s="815">
        <f>[21]Biogas_Nm!E20</f>
        <v>369502.14</v>
      </c>
      <c r="C60" s="567">
        <f t="shared" si="3"/>
        <v>351190.529522124</v>
      </c>
      <c r="D60" s="814">
        <f>'[21]Tabellen für Auswertung'!Q134+'[21]Tabellen für Auswertung'!R134</f>
        <v>203667.3818</v>
      </c>
      <c r="E60" s="815">
        <f>'[21]Tabellen für Auswertung'!S134</f>
        <v>209537.3818</v>
      </c>
      <c r="F60" s="574">
        <f t="shared" si="4"/>
        <v>95.5674891371819</v>
      </c>
      <c r="G60" s="574">
        <f t="shared" si="5"/>
        <v>50.0657280727631</v>
      </c>
      <c r="H60" s="575">
        <f t="shared" si="6"/>
        <v>0.515086975909538</v>
      </c>
      <c r="I60" s="545">
        <v>30</v>
      </c>
      <c r="J60" s="545">
        <f t="shared" si="7"/>
        <v>720</v>
      </c>
      <c r="K60" s="568">
        <v>537</v>
      </c>
      <c r="L60" s="568">
        <v>565</v>
      </c>
      <c r="M60" s="544"/>
    </row>
    <row r="61" spans="1:13">
      <c r="A61" s="544" t="s">
        <v>406</v>
      </c>
      <c r="B61" s="565">
        <f t="shared" ref="B61:H61" si="8">AVERAGE(B49:B60)</f>
        <v>366531.305</v>
      </c>
      <c r="C61" s="565">
        <f t="shared" si="8"/>
        <v>348366.921743363</v>
      </c>
      <c r="D61" s="565">
        <f t="shared" si="8"/>
        <v>242939.079683333</v>
      </c>
      <c r="E61" s="565">
        <f t="shared" si="8"/>
        <v>252108.24635</v>
      </c>
      <c r="F61" s="576">
        <f t="shared" si="8"/>
        <v>93.8563872810392</v>
      </c>
      <c r="G61" s="576">
        <f t="shared" si="8"/>
        <v>59.1134252379857</v>
      </c>
      <c r="H61" s="573">
        <f t="shared" si="8"/>
        <v>0.613383780184445</v>
      </c>
      <c r="I61" s="544"/>
      <c r="J61" s="544"/>
      <c r="K61" s="544">
        <f>AVERAGE(K49:K60)</f>
        <v>537</v>
      </c>
      <c r="L61" s="544">
        <f>AVERAGE(L49:L60)</f>
        <v>565</v>
      </c>
      <c r="M61" s="544"/>
    </row>
    <row r="62" spans="1:13">
      <c r="A62" s="544" t="s">
        <v>386</v>
      </c>
      <c r="B62" s="565">
        <f>SUM(B49:B60)</f>
        <v>4398375.66</v>
      </c>
      <c r="C62" s="565">
        <f>SUM(C49:C60)</f>
        <v>4180403.06092035</v>
      </c>
      <c r="D62" s="565">
        <f>SUM(D49:D60)</f>
        <v>2915268.9562</v>
      </c>
      <c r="E62" s="565">
        <f>SUM(E49:E60)</f>
        <v>3025298.9562</v>
      </c>
      <c r="F62" s="544"/>
      <c r="G62" s="544"/>
      <c r="H62" s="544"/>
      <c r="I62" s="544"/>
      <c r="J62" s="544"/>
      <c r="K62" s="544"/>
      <c r="L62" s="544"/>
      <c r="M62" s="544"/>
    </row>
    <row r="63" spans="1:13">
      <c r="A63" s="544"/>
      <c r="B63" s="544"/>
      <c r="C63" s="544"/>
      <c r="D63" s="544"/>
      <c r="E63" s="544"/>
      <c r="F63" s="544" t="s">
        <v>407</v>
      </c>
      <c r="G63" s="544"/>
      <c r="H63" s="544"/>
      <c r="I63" s="544"/>
      <c r="J63" s="544"/>
      <c r="K63" s="544"/>
      <c r="L63" s="544"/>
      <c r="M63" s="544"/>
    </row>
    <row r="64" spans="1:13">
      <c r="A64" s="544"/>
      <c r="B64" s="544"/>
      <c r="C64" s="544"/>
      <c r="D64" s="544"/>
      <c r="E64" s="544"/>
      <c r="F64" s="576">
        <f>(B62+E62)/((K61+L61)*8760)</f>
        <v>0.76901219619372</v>
      </c>
      <c r="G64" s="544" t="s">
        <v>408</v>
      </c>
      <c r="H64" s="544"/>
      <c r="I64" s="544"/>
      <c r="J64" s="544"/>
      <c r="K64" s="544"/>
      <c r="L64" s="544"/>
      <c r="M64" s="544"/>
    </row>
    <row r="65" spans="1:13">
      <c r="A65" s="544"/>
      <c r="B65" s="544"/>
      <c r="C65" s="544"/>
      <c r="D65" s="544"/>
      <c r="E65" s="544"/>
      <c r="F65" s="544"/>
      <c r="G65" s="544" t="s">
        <v>409</v>
      </c>
      <c r="H65" s="544"/>
      <c r="I65" s="544"/>
      <c r="J65" s="544"/>
      <c r="K65" s="544"/>
      <c r="L65" s="544"/>
      <c r="M65" s="544"/>
    </row>
    <row r="66" spans="1:13">
      <c r="A66" s="544"/>
      <c r="B66" s="544"/>
      <c r="C66" s="544"/>
      <c r="D66" s="544"/>
      <c r="E66" s="544"/>
      <c r="F66" s="544"/>
      <c r="G66" s="544"/>
      <c r="H66" s="544"/>
      <c r="I66" s="544"/>
      <c r="J66" s="544"/>
      <c r="K66" s="544"/>
      <c r="L66" s="544"/>
      <c r="M66" s="544"/>
    </row>
    <row r="67" spans="1:13">
      <c r="A67" s="544"/>
      <c r="B67" s="544"/>
      <c r="C67" s="544"/>
      <c r="D67" s="544"/>
      <c r="E67" s="544"/>
      <c r="F67" s="544">
        <f>B62/K61/8760</f>
        <v>0.935004987117676</v>
      </c>
      <c r="G67" s="544"/>
      <c r="H67" s="544"/>
      <c r="I67" s="544"/>
      <c r="J67" s="544"/>
      <c r="K67" s="544"/>
      <c r="L67" s="544"/>
      <c r="M67" s="544"/>
    </row>
    <row r="68" spans="1:13">
      <c r="A68" s="544"/>
      <c r="B68" s="544"/>
      <c r="C68" s="544"/>
      <c r="D68" s="544"/>
      <c r="E68" s="544"/>
      <c r="F68" s="544"/>
      <c r="G68" s="544"/>
      <c r="H68" s="544"/>
      <c r="I68" s="544"/>
      <c r="J68" s="544"/>
      <c r="K68" s="544"/>
      <c r="L68" s="544"/>
      <c r="M68" s="544"/>
    </row>
    <row r="69" spans="1:13">
      <c r="A69" s="544"/>
      <c r="B69" s="544"/>
      <c r="C69" s="544"/>
      <c r="D69" s="544"/>
      <c r="E69" s="544"/>
      <c r="F69" s="544"/>
      <c r="G69" s="544"/>
      <c r="H69" s="544"/>
      <c r="I69" s="544"/>
      <c r="J69" s="544"/>
      <c r="K69" s="544"/>
      <c r="L69" s="544"/>
      <c r="M69" s="544"/>
    </row>
    <row r="70" spans="1:13">
      <c r="A70" s="544"/>
      <c r="B70" s="544"/>
      <c r="C70" s="544"/>
      <c r="D70" s="544"/>
      <c r="E70" s="544"/>
      <c r="F70" s="544"/>
      <c r="G70" s="544"/>
      <c r="H70" s="544"/>
      <c r="I70" s="544"/>
      <c r="J70" s="544"/>
      <c r="K70" s="544"/>
      <c r="L70" s="544"/>
      <c r="M70" s="544"/>
    </row>
    <row r="71" spans="1:13">
      <c r="A71" s="544"/>
      <c r="B71" s="544"/>
      <c r="C71" s="544"/>
      <c r="D71" s="544"/>
      <c r="E71" s="544"/>
      <c r="F71" s="544"/>
      <c r="G71" s="544"/>
      <c r="H71" s="544"/>
      <c r="I71" s="544"/>
      <c r="J71" s="544"/>
      <c r="K71" s="544"/>
      <c r="L71" s="544"/>
      <c r="M71" s="544"/>
    </row>
  </sheetData>
  <mergeCells count="1">
    <mergeCell ref="K46:L46"/>
  </mergeCells>
  <pageMargins left="0.7" right="0.7" top="0.787401575" bottom="0.787401575" header="0.3" footer="0.3"/>
  <pageSetup paperSize="9" orientation="portrait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499984740745262"/>
  </sheetPr>
  <dimension ref="A1:N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434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537</v>
      </c>
      <c r="G3" s="22"/>
      <c r="H3" s="23" t="s">
        <v>187</v>
      </c>
      <c r="I3" s="5" t="s">
        <v>188</v>
      </c>
      <c r="J3" s="35">
        <v>4206200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f>0.95*F3</f>
        <v>510.15</v>
      </c>
      <c r="G4" s="217"/>
      <c r="H4" s="25" t="s">
        <v>187</v>
      </c>
      <c r="I4" s="7" t="s">
        <v>191</v>
      </c>
      <c r="J4" s="37">
        <v>2220000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83.0508431166495</v>
      </c>
      <c r="H6" s="27" t="s">
        <v>195</v>
      </c>
      <c r="I6" s="1"/>
      <c r="J6" s="40">
        <v>930650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7.00530939091708</v>
      </c>
      <c r="H7" s="27" t="s">
        <v>195</v>
      </c>
      <c r="I7" s="1"/>
      <c r="J7" s="40">
        <v>78500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9.94384749243344</v>
      </c>
      <c r="H8" s="27" t="s">
        <v>195</v>
      </c>
      <c r="I8" s="1"/>
      <c r="J8" s="40">
        <v>111428.63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1120578.63</v>
      </c>
      <c r="K9" s="43" t="s">
        <v>196</v>
      </c>
      <c r="L9" s="12"/>
    </row>
    <row r="10" ht="21.75" customHeight="1" spans="1:13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  <c r="M10" t="s">
        <v>77</v>
      </c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36.5548943515004</v>
      </c>
      <c r="H11" s="27" t="s">
        <v>195</v>
      </c>
      <c r="I11" s="1"/>
      <c r="J11" s="40">
        <v>301617.8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f>40</f>
        <v>40</v>
      </c>
      <c r="F13" s="15" t="s">
        <v>204</v>
      </c>
      <c r="G13" s="31"/>
      <c r="H13" s="15"/>
      <c r="I13" s="15"/>
      <c r="J13" s="45">
        <v>234368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37.5</v>
      </c>
      <c r="F14" s="15" t="s">
        <v>204</v>
      </c>
      <c r="G14" s="31"/>
      <c r="H14" s="15"/>
      <c r="I14" s="15"/>
      <c r="J14" s="45">
        <v>39926.25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129</v>
      </c>
      <c r="F15" s="15" t="s">
        <v>204</v>
      </c>
      <c r="G15" s="31"/>
      <c r="H15" s="15"/>
      <c r="I15" s="15"/>
      <c r="J15" s="45">
        <v>3663.6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3.93887252815903</v>
      </c>
      <c r="H16" s="27" t="s">
        <v>195</v>
      </c>
      <c r="I16" s="1"/>
      <c r="J16" s="40">
        <v>32500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21.1416862017575</v>
      </c>
      <c r="H17" s="27" t="s">
        <v>195</v>
      </c>
      <c r="I17" s="1"/>
      <c r="J17" s="40">
        <v>174442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16.8730997439721</v>
      </c>
      <c r="H18" s="27" t="s">
        <v>195</v>
      </c>
      <c r="I18" s="1"/>
      <c r="J18" s="40">
        <v>139221.5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21.491447174611</v>
      </c>
      <c r="H19" s="27" t="s">
        <v>195</v>
      </c>
      <c r="I19" s="1"/>
      <c r="J19" s="40">
        <v>177327.91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4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93900.84</v>
      </c>
      <c r="K22" s="44" t="s">
        <v>196</v>
      </c>
      <c r="L22" s="17"/>
      <c r="N22" t="s">
        <v>77</v>
      </c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4000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9000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23000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842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21035.07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25550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825109.21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26.6411162094052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19.6164996909324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7.02461651847273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295469.42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249977111117893"/>
  </sheetPr>
  <dimension ref="B1:T64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0.5" style="156" customWidth="1"/>
    <col min="3" max="3" width="9.83653846153846" style="156" customWidth="1"/>
    <col min="4" max="4" width="11.3365384615385" style="156" customWidth="1"/>
    <col min="5" max="5" width="11.1634615384615" style="156" customWidth="1"/>
    <col min="6" max="6" width="10" style="156" customWidth="1"/>
    <col min="7" max="7" width="3.83653846153846" style="156" customWidth="1"/>
    <col min="8" max="8" width="16.6634615384615" style="156" customWidth="1"/>
    <col min="9" max="9" width="11.8365384615385" style="156" customWidth="1"/>
    <col min="10" max="10" width="13.5" style="156" customWidth="1"/>
    <col min="11" max="11" width="11.5" style="156"/>
    <col min="12" max="12" width="14.1634615384615" style="156" customWidth="1"/>
    <col min="13" max="16384" width="11.5" style="156"/>
  </cols>
  <sheetData>
    <row r="1" ht="21.75" customHeight="1" spans="12:14">
      <c r="L1" s="175"/>
      <c r="M1" s="175"/>
      <c r="N1" s="175"/>
    </row>
    <row r="2" ht="25.5" customHeight="1" spans="2:12">
      <c r="B2" s="49" t="s">
        <v>439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5" customHeight="1" spans="2:12">
      <c r="B3" s="502" t="s">
        <v>440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ht="15" customHeight="1" spans="2:12">
      <c r="B4" s="54" t="s">
        <v>2</v>
      </c>
      <c r="C4" s="213" t="s">
        <v>261</v>
      </c>
      <c r="D4" s="522"/>
      <c r="E4" s="522"/>
      <c r="F4" s="96"/>
      <c r="G4" s="96"/>
      <c r="H4" s="56"/>
      <c r="I4" s="56"/>
      <c r="J4" s="64"/>
      <c r="K4" s="64"/>
      <c r="L4" s="114"/>
    </row>
    <row r="5" ht="15" customHeight="1" spans="2:12">
      <c r="B5" s="54" t="s">
        <v>4</v>
      </c>
      <c r="C5" s="186">
        <v>39539</v>
      </c>
      <c r="D5" s="522"/>
      <c r="E5" s="522"/>
      <c r="F5" s="96"/>
      <c r="G5" s="96"/>
      <c r="H5" s="56"/>
      <c r="I5" s="56"/>
      <c r="J5" s="64"/>
      <c r="K5" s="64"/>
      <c r="L5" s="114"/>
    </row>
    <row r="6" ht="15" customHeight="1" spans="2:12">
      <c r="B6" s="57" t="s">
        <v>6</v>
      </c>
      <c r="C6" s="213" t="s">
        <v>7</v>
      </c>
      <c r="D6" s="522"/>
      <c r="E6" s="522"/>
      <c r="F6" s="96"/>
      <c r="G6" s="96"/>
      <c r="H6" s="56"/>
      <c r="I6" s="56"/>
      <c r="J6" s="64"/>
      <c r="K6" s="64"/>
      <c r="L6" s="114"/>
    </row>
    <row r="7" ht="15" customHeight="1" spans="2:12">
      <c r="B7" s="503" t="s">
        <v>20</v>
      </c>
      <c r="C7" s="213" t="s">
        <v>369</v>
      </c>
      <c r="D7" s="522"/>
      <c r="E7" s="56"/>
      <c r="F7" s="56"/>
      <c r="G7" s="56"/>
      <c r="H7" s="56"/>
      <c r="I7" s="56"/>
      <c r="J7" s="64"/>
      <c r="K7" s="64"/>
      <c r="L7" s="114"/>
    </row>
    <row r="8" ht="15" customHeight="1" spans="2:12">
      <c r="B8" s="503" t="s">
        <v>107</v>
      </c>
      <c r="C8" s="213" t="s">
        <v>441</v>
      </c>
      <c r="D8" s="522"/>
      <c r="E8" s="56"/>
      <c r="F8" s="56"/>
      <c r="G8" s="56"/>
      <c r="H8" s="56"/>
      <c r="I8" s="56"/>
      <c r="J8" s="64"/>
      <c r="K8" s="64"/>
      <c r="L8" s="114"/>
    </row>
    <row r="9" ht="15" customHeight="1" spans="2:12">
      <c r="B9" s="57" t="s">
        <v>12</v>
      </c>
      <c r="C9" s="56" t="s">
        <v>13</v>
      </c>
      <c r="D9" s="522"/>
      <c r="E9" s="56"/>
      <c r="F9" s="56"/>
      <c r="G9" s="56"/>
      <c r="H9" s="56"/>
      <c r="I9" s="56"/>
      <c r="J9" s="64"/>
      <c r="K9" s="64"/>
      <c r="L9" s="114"/>
    </row>
    <row r="10" ht="15" customHeight="1" spans="2:12">
      <c r="B10" s="60" t="s">
        <v>232</v>
      </c>
      <c r="C10" s="56" t="s">
        <v>442</v>
      </c>
      <c r="D10" s="522"/>
      <c r="E10" s="56"/>
      <c r="F10" s="56"/>
      <c r="G10" s="56"/>
      <c r="H10" s="56"/>
      <c r="I10" s="56"/>
      <c r="J10" s="64"/>
      <c r="K10" s="64"/>
      <c r="L10" s="114"/>
    </row>
    <row r="11" ht="15" customHeight="1" spans="2:12">
      <c r="B11" s="128"/>
      <c r="C11" s="504"/>
      <c r="D11" s="504"/>
      <c r="E11" s="504"/>
      <c r="F11" s="504"/>
      <c r="G11" s="504"/>
      <c r="H11" s="504"/>
      <c r="I11" s="56"/>
      <c r="J11" s="62"/>
      <c r="K11" s="62"/>
      <c r="L11" s="114"/>
    </row>
    <row r="12" ht="15" customHeight="1" spans="2:12">
      <c r="B12" s="502" t="s">
        <v>19</v>
      </c>
      <c r="C12" s="64"/>
      <c r="D12" s="505"/>
      <c r="E12" s="505"/>
      <c r="F12" s="67"/>
      <c r="G12" s="67"/>
      <c r="H12" s="97"/>
      <c r="I12" s="532" t="s">
        <v>20</v>
      </c>
      <c r="J12" s="64"/>
      <c r="K12" s="64"/>
      <c r="L12" s="152"/>
    </row>
    <row r="13" ht="15" customHeight="1" spans="2:12">
      <c r="B13" s="506" t="s">
        <v>233</v>
      </c>
      <c r="C13" s="64"/>
      <c r="D13" s="67" t="s">
        <v>259</v>
      </c>
      <c r="E13" s="67" t="s">
        <v>178</v>
      </c>
      <c r="F13" s="296"/>
      <c r="G13" s="296"/>
      <c r="H13" s="97" t="s">
        <v>24</v>
      </c>
      <c r="I13" s="64"/>
      <c r="J13" s="64"/>
      <c r="K13" s="56"/>
      <c r="L13" s="114"/>
    </row>
    <row r="14" ht="15" customHeight="1" spans="2:12">
      <c r="B14" s="506" t="s">
        <v>26</v>
      </c>
      <c r="C14" s="64"/>
      <c r="D14" s="78">
        <v>1</v>
      </c>
      <c r="E14" s="78">
        <v>1</v>
      </c>
      <c r="F14" s="296"/>
      <c r="G14" s="296"/>
      <c r="H14" s="797"/>
      <c r="I14" s="64"/>
      <c r="J14" s="64"/>
      <c r="K14" s="56" t="s">
        <v>25</v>
      </c>
      <c r="L14" s="114"/>
    </row>
    <row r="15" ht="15" customHeight="1" spans="2:12">
      <c r="B15" s="506" t="s">
        <v>54</v>
      </c>
      <c r="C15" s="64" t="s">
        <v>55</v>
      </c>
      <c r="D15" s="69">
        <v>1570</v>
      </c>
      <c r="E15" s="69">
        <v>1570</v>
      </c>
      <c r="F15" s="69"/>
      <c r="G15" s="69"/>
      <c r="H15" s="98">
        <f>SUM(D15:G15)</f>
        <v>3140</v>
      </c>
      <c r="I15" s="64" t="s">
        <v>248</v>
      </c>
      <c r="J15" s="64"/>
      <c r="K15" s="161">
        <v>23158</v>
      </c>
      <c r="L15" s="114" t="s">
        <v>28</v>
      </c>
    </row>
    <row r="16" ht="15" customHeight="1" spans="2:12">
      <c r="B16" s="506" t="s">
        <v>234</v>
      </c>
      <c r="C16" s="64" t="s">
        <v>55</v>
      </c>
      <c r="D16" s="69">
        <v>1437</v>
      </c>
      <c r="E16" s="69">
        <v>1437</v>
      </c>
      <c r="F16" s="69"/>
      <c r="G16" s="69"/>
      <c r="H16" s="98">
        <f>SUM(D16:G16)</f>
        <v>2874</v>
      </c>
      <c r="I16" s="64" t="s">
        <v>249</v>
      </c>
      <c r="J16" s="64"/>
      <c r="K16" s="537">
        <v>63.4</v>
      </c>
      <c r="L16" s="114" t="s">
        <v>56</v>
      </c>
    </row>
    <row r="17" ht="15" customHeight="1" spans="2:12">
      <c r="B17" s="506" t="s">
        <v>443</v>
      </c>
      <c r="C17" s="64" t="s">
        <v>62</v>
      </c>
      <c r="D17" s="710">
        <f>5/20</f>
        <v>0.25</v>
      </c>
      <c r="E17" s="710">
        <f>5/20</f>
        <v>0.25</v>
      </c>
      <c r="F17" s="78"/>
      <c r="G17" s="78"/>
      <c r="H17" s="798"/>
      <c r="I17" s="56" t="s">
        <v>155</v>
      </c>
      <c r="J17" s="56"/>
      <c r="K17" s="163">
        <v>73</v>
      </c>
      <c r="L17" s="118" t="s">
        <v>59</v>
      </c>
    </row>
    <row r="18" ht="15" customHeight="1" spans="2:12">
      <c r="B18" s="128" t="s">
        <v>61</v>
      </c>
      <c r="C18" s="56"/>
      <c r="D18" s="70" t="s">
        <v>63</v>
      </c>
      <c r="E18" s="70" t="s">
        <v>63</v>
      </c>
      <c r="F18" s="70"/>
      <c r="G18" s="70"/>
      <c r="H18" s="98"/>
      <c r="I18" s="56" t="s">
        <v>371</v>
      </c>
      <c r="J18" s="56"/>
      <c r="K18" s="164">
        <v>22</v>
      </c>
      <c r="L18" s="118" t="s">
        <v>59</v>
      </c>
    </row>
    <row r="19" ht="15" customHeight="1" spans="2:12">
      <c r="B19" s="128" t="s">
        <v>66</v>
      </c>
      <c r="C19" s="56" t="s">
        <v>55</v>
      </c>
      <c r="D19" s="507">
        <v>780</v>
      </c>
      <c r="E19" s="507">
        <v>780</v>
      </c>
      <c r="F19" s="71"/>
      <c r="G19" s="71"/>
      <c r="H19" s="98">
        <f>SUM(D19:G19)</f>
        <v>1560</v>
      </c>
      <c r="I19" s="56" t="s">
        <v>372</v>
      </c>
      <c r="J19" s="56"/>
      <c r="K19" s="164">
        <v>4</v>
      </c>
      <c r="L19" s="118" t="s">
        <v>59</v>
      </c>
    </row>
    <row r="20" ht="15" customHeight="1" spans="2:12">
      <c r="B20" s="508"/>
      <c r="C20" s="509"/>
      <c r="D20" s="99"/>
      <c r="E20" s="99"/>
      <c r="F20" s="99"/>
      <c r="G20" s="99"/>
      <c r="H20" s="109"/>
      <c r="I20" s="56" t="s">
        <v>161</v>
      </c>
      <c r="J20" s="56"/>
      <c r="K20" s="164">
        <v>1</v>
      </c>
      <c r="L20" s="118" t="s">
        <v>59</v>
      </c>
    </row>
    <row r="21" ht="15" customHeight="1" spans="2:19">
      <c r="B21" s="510" t="s">
        <v>69</v>
      </c>
      <c r="C21" s="56"/>
      <c r="D21" s="70"/>
      <c r="E21" s="70"/>
      <c r="F21" s="70"/>
      <c r="G21" s="70"/>
      <c r="H21" s="100"/>
      <c r="I21" s="56" t="s">
        <v>157</v>
      </c>
      <c r="J21" s="56"/>
      <c r="K21" s="799" t="s">
        <v>444</v>
      </c>
      <c r="L21" s="118" t="s">
        <v>59</v>
      </c>
      <c r="P21"/>
      <c r="Q21"/>
      <c r="R21"/>
      <c r="S21"/>
    </row>
    <row r="22" ht="15" customHeight="1" spans="2:19">
      <c r="B22" s="66" t="s">
        <v>71</v>
      </c>
      <c r="C22" s="64" t="s">
        <v>59</v>
      </c>
      <c r="D22" s="75">
        <v>8.78</v>
      </c>
      <c r="E22" s="78"/>
      <c r="F22" s="78"/>
      <c r="G22" s="78"/>
      <c r="H22" s="102"/>
      <c r="I22" s="534" t="s">
        <v>76</v>
      </c>
      <c r="J22" s="56"/>
      <c r="K22" s="535"/>
      <c r="L22" s="118"/>
      <c r="P22"/>
      <c r="Q22"/>
      <c r="R22"/>
      <c r="S22"/>
    </row>
    <row r="23" ht="15" customHeight="1" spans="2:19">
      <c r="B23" s="66" t="s">
        <v>73</v>
      </c>
      <c r="C23" s="64" t="s">
        <v>59</v>
      </c>
      <c r="D23" s="75">
        <v>75.05</v>
      </c>
      <c r="E23" s="78"/>
      <c r="F23" s="78"/>
      <c r="G23" s="78"/>
      <c r="H23" s="78"/>
      <c r="I23" s="127" t="s">
        <v>445</v>
      </c>
      <c r="J23" s="56"/>
      <c r="K23" s="163">
        <v>18.2601581628025</v>
      </c>
      <c r="L23" s="118" t="s">
        <v>59</v>
      </c>
      <c r="P23"/>
      <c r="Q23"/>
      <c r="R23"/>
      <c r="S23"/>
    </row>
    <row r="24" ht="15" customHeight="1" spans="2:19">
      <c r="B24" s="511" t="s">
        <v>74</v>
      </c>
      <c r="C24" s="76" t="s">
        <v>75</v>
      </c>
      <c r="D24" s="75">
        <v>7.290964482112</v>
      </c>
      <c r="E24" s="78"/>
      <c r="F24" s="299"/>
      <c r="G24" s="299"/>
      <c r="H24" s="173">
        <v>3.645482241056</v>
      </c>
      <c r="I24" s="128" t="s">
        <v>446</v>
      </c>
      <c r="J24" s="56"/>
      <c r="K24" s="163">
        <v>90.7030530883186</v>
      </c>
      <c r="L24" s="118" t="s">
        <v>59</v>
      </c>
      <c r="P24"/>
      <c r="Q24"/>
      <c r="R24"/>
      <c r="S24"/>
    </row>
    <row r="25" ht="15" customHeight="1" spans="2:19">
      <c r="B25" s="128" t="s">
        <v>78</v>
      </c>
      <c r="C25" s="56" t="s">
        <v>79</v>
      </c>
      <c r="D25" s="77">
        <v>22.6909857454055</v>
      </c>
      <c r="E25" s="78"/>
      <c r="F25" s="70"/>
      <c r="G25" s="70"/>
      <c r="H25" s="293">
        <v>45.381971490811</v>
      </c>
      <c r="I25" s="57" t="s">
        <v>447</v>
      </c>
      <c r="J25" s="56"/>
      <c r="K25" s="163">
        <v>65.6076606152228</v>
      </c>
      <c r="L25" s="118" t="s">
        <v>59</v>
      </c>
      <c r="P25"/>
      <c r="Q25"/>
      <c r="R25"/>
      <c r="S25"/>
    </row>
    <row r="26" ht="15" customHeight="1" spans="2:19">
      <c r="B26" s="128" t="s">
        <v>448</v>
      </c>
      <c r="C26" s="56" t="s">
        <v>59</v>
      </c>
      <c r="D26" s="78"/>
      <c r="E26" s="78"/>
      <c r="F26" s="70"/>
      <c r="G26" s="70"/>
      <c r="H26" s="188">
        <v>73</v>
      </c>
      <c r="I26" s="534"/>
      <c r="J26" s="56"/>
      <c r="K26" s="535"/>
      <c r="L26" s="118"/>
      <c r="P26"/>
      <c r="Q26"/>
      <c r="R26"/>
      <c r="S26"/>
    </row>
    <row r="27" ht="15" customHeight="1" spans="2:19">
      <c r="B27" s="57" t="s">
        <v>84</v>
      </c>
      <c r="C27" s="56" t="s">
        <v>59</v>
      </c>
      <c r="D27" s="78"/>
      <c r="E27" s="78"/>
      <c r="F27" s="70"/>
      <c r="G27" s="70"/>
      <c r="H27" s="188">
        <v>115</v>
      </c>
      <c r="I27" s="56"/>
      <c r="J27" s="55"/>
      <c r="K27" s="535"/>
      <c r="L27" s="118"/>
      <c r="P27"/>
      <c r="Q27"/>
      <c r="R27"/>
      <c r="S27"/>
    </row>
    <row r="28" ht="15" customHeight="1" spans="2:19">
      <c r="B28" s="128" t="s">
        <v>87</v>
      </c>
      <c r="C28" s="56" t="s">
        <v>88</v>
      </c>
      <c r="D28" s="78"/>
      <c r="E28" s="78"/>
      <c r="F28" s="70"/>
      <c r="G28" s="70"/>
      <c r="H28" s="173">
        <f>2639418/365/$H$16*$L$40/100</f>
        <v>1.27471064541309</v>
      </c>
      <c r="I28" s="81"/>
      <c r="J28" s="94"/>
      <c r="K28" s="536"/>
      <c r="L28" s="115"/>
      <c r="P28"/>
      <c r="Q28"/>
      <c r="R28"/>
      <c r="S28"/>
    </row>
    <row r="29" ht="15" customHeight="1" spans="2:19">
      <c r="B29" s="128" t="s">
        <v>90</v>
      </c>
      <c r="C29" s="56" t="s">
        <v>91</v>
      </c>
      <c r="D29" s="78"/>
      <c r="E29" s="78"/>
      <c r="F29" s="70"/>
      <c r="G29" s="70"/>
      <c r="H29" s="173">
        <f>2639418/365/$H$16</f>
        <v>2.51610375496897</v>
      </c>
      <c r="I29" s="63" t="s">
        <v>93</v>
      </c>
      <c r="J29" s="133"/>
      <c r="K29" s="537"/>
      <c r="L29" s="152"/>
      <c r="P29"/>
      <c r="Q29"/>
      <c r="R29"/>
      <c r="S29"/>
    </row>
    <row r="30" ht="15" customHeight="1" spans="2:19">
      <c r="B30" s="128" t="s">
        <v>32</v>
      </c>
      <c r="C30" s="56" t="s">
        <v>62</v>
      </c>
      <c r="D30" s="75">
        <v>7.6975</v>
      </c>
      <c r="E30" s="75">
        <v>7.93444444444445</v>
      </c>
      <c r="F30" s="78"/>
      <c r="G30" s="78"/>
      <c r="H30" s="102"/>
      <c r="I30" s="66" t="s">
        <v>449</v>
      </c>
      <c r="J30" s="64"/>
      <c r="K30" s="537">
        <v>6</v>
      </c>
      <c r="L30" s="64"/>
      <c r="M30" s="541">
        <f>+M31*7.03/100</f>
        <v>6.55020152323048</v>
      </c>
      <c r="N30" s="156" t="s">
        <v>450</v>
      </c>
      <c r="P30"/>
      <c r="Q30"/>
      <c r="R30"/>
      <c r="S30"/>
    </row>
    <row r="31" ht="15" customHeight="1" spans="2:19">
      <c r="B31" s="128" t="s">
        <v>94</v>
      </c>
      <c r="C31" s="56" t="s">
        <v>95</v>
      </c>
      <c r="D31" s="293">
        <v>43.8222222222222</v>
      </c>
      <c r="E31" s="293">
        <v>43.6888888888889</v>
      </c>
      <c r="F31" s="70"/>
      <c r="G31" s="70"/>
      <c r="H31" s="100"/>
      <c r="I31" s="66" t="s">
        <v>96</v>
      </c>
      <c r="J31" s="92"/>
      <c r="K31" s="161">
        <v>0</v>
      </c>
      <c r="L31" s="114" t="s">
        <v>55</v>
      </c>
      <c r="M31" s="541">
        <f>+M32*74.33/100</f>
        <v>93.1749861056967</v>
      </c>
      <c r="N31" s="156" t="s">
        <v>451</v>
      </c>
      <c r="P31"/>
      <c r="Q31"/>
      <c r="R31"/>
      <c r="S31"/>
    </row>
    <row r="32" ht="15" customHeight="1" spans="2:19">
      <c r="B32" s="66" t="s">
        <v>97</v>
      </c>
      <c r="C32" s="64" t="s">
        <v>98</v>
      </c>
      <c r="D32" s="75">
        <v>2.128</v>
      </c>
      <c r="E32" s="75">
        <v>3.036</v>
      </c>
      <c r="F32" s="78"/>
      <c r="G32" s="78"/>
      <c r="H32" s="78"/>
      <c r="I32" s="66" t="s">
        <v>99</v>
      </c>
      <c r="J32" s="64"/>
      <c r="K32" s="161">
        <v>8000</v>
      </c>
      <c r="L32" s="114" t="s">
        <v>55</v>
      </c>
      <c r="M32" s="541">
        <f>M33*1000</f>
        <v>125.353136157267</v>
      </c>
      <c r="N32" s="156" t="s">
        <v>452</v>
      </c>
      <c r="P32"/>
      <c r="Q32"/>
      <c r="R32"/>
      <c r="S32"/>
    </row>
    <row r="33" ht="15" customHeight="1" spans="2:19">
      <c r="B33" s="66" t="s">
        <v>100</v>
      </c>
      <c r="C33" s="64" t="s">
        <v>98</v>
      </c>
      <c r="D33" s="75">
        <v>4.87</v>
      </c>
      <c r="E33" s="75">
        <v>4.89</v>
      </c>
      <c r="F33" s="78"/>
      <c r="G33" s="78"/>
      <c r="H33" s="78"/>
      <c r="I33" s="66" t="s">
        <v>453</v>
      </c>
      <c r="J33" s="64"/>
      <c r="K33" s="162">
        <v>5.6</v>
      </c>
      <c r="L33" s="114" t="s">
        <v>59</v>
      </c>
      <c r="M33" s="541">
        <f>M34*0.001</f>
        <v>0.125353136157267</v>
      </c>
      <c r="N33" s="156" t="s">
        <v>454</v>
      </c>
      <c r="P33"/>
      <c r="Q33"/>
      <c r="R33"/>
      <c r="S33"/>
    </row>
    <row r="34" ht="15" customHeight="1" spans="2:19">
      <c r="B34" s="506" t="s">
        <v>455</v>
      </c>
      <c r="C34" s="64" t="s">
        <v>102</v>
      </c>
      <c r="D34" s="77">
        <v>1058</v>
      </c>
      <c r="E34" s="77">
        <v>301</v>
      </c>
      <c r="F34" s="78"/>
      <c r="G34" s="78"/>
      <c r="H34" s="78"/>
      <c r="I34" s="66" t="s">
        <v>105</v>
      </c>
      <c r="J34" s="64"/>
      <c r="K34" s="162">
        <v>7.06</v>
      </c>
      <c r="L34" s="114" t="s">
        <v>59</v>
      </c>
      <c r="M34" s="541">
        <v>125.353136157267</v>
      </c>
      <c r="N34" s="156" t="s">
        <v>456</v>
      </c>
      <c r="P34"/>
      <c r="Q34"/>
      <c r="R34"/>
      <c r="S34"/>
    </row>
    <row r="35" ht="15" customHeight="1" spans="2:19">
      <c r="B35" s="506" t="s">
        <v>104</v>
      </c>
      <c r="C35" s="64" t="s">
        <v>62</v>
      </c>
      <c r="D35" s="78">
        <v>0.22</v>
      </c>
      <c r="E35" s="78">
        <v>0.12</v>
      </c>
      <c r="F35" s="78"/>
      <c r="G35" s="78"/>
      <c r="H35" s="528"/>
      <c r="I35" s="66" t="s">
        <v>106</v>
      </c>
      <c r="J35" s="64"/>
      <c r="K35" s="162">
        <v>72.79</v>
      </c>
      <c r="L35" s="114" t="s">
        <v>59</v>
      </c>
      <c r="M35" s="541"/>
      <c r="P35"/>
      <c r="Q35"/>
      <c r="R35"/>
      <c r="S35"/>
    </row>
    <row r="36" ht="15" customHeight="1" spans="2:19">
      <c r="B36" s="512"/>
      <c r="C36" s="513"/>
      <c r="D36" s="99"/>
      <c r="E36" s="99"/>
      <c r="F36" s="99"/>
      <c r="G36" s="99"/>
      <c r="H36" s="529"/>
      <c r="I36" s="64"/>
      <c r="J36" s="64"/>
      <c r="K36" s="78"/>
      <c r="L36" s="64"/>
      <c r="M36" s="542"/>
      <c r="P36"/>
      <c r="Q36"/>
      <c r="R36"/>
      <c r="S36"/>
    </row>
    <row r="37" ht="15" customHeight="1" spans="2:19">
      <c r="B37" s="514" t="s">
        <v>107</v>
      </c>
      <c r="C37" s="117"/>
      <c r="D37" s="67"/>
      <c r="E37" s="67"/>
      <c r="F37" s="67"/>
      <c r="G37" s="67"/>
      <c r="H37" s="67"/>
      <c r="I37" s="51" t="s">
        <v>108</v>
      </c>
      <c r="J37" s="140"/>
      <c r="K37" s="140"/>
      <c r="L37" s="152"/>
      <c r="M37" s="542"/>
      <c r="P37"/>
      <c r="Q37"/>
      <c r="R37"/>
      <c r="S37"/>
    </row>
    <row r="38" ht="15" customHeight="1" spans="2:19">
      <c r="B38" s="66"/>
      <c r="C38" s="64"/>
      <c r="D38" s="64"/>
      <c r="E38" s="64"/>
      <c r="F38" s="64"/>
      <c r="G38" s="67"/>
      <c r="H38" s="97"/>
      <c r="I38" s="66"/>
      <c r="J38" s="64" t="s">
        <v>109</v>
      </c>
      <c r="K38" s="78" t="s">
        <v>110</v>
      </c>
      <c r="L38" s="114"/>
      <c r="M38" s="541"/>
      <c r="P38"/>
      <c r="Q38"/>
      <c r="R38"/>
      <c r="S38"/>
    </row>
    <row r="39" ht="15" customHeight="1" spans="2:19">
      <c r="B39" s="85" t="s">
        <v>111</v>
      </c>
      <c r="C39" s="64" t="s">
        <v>59</v>
      </c>
      <c r="D39" s="77">
        <v>53</v>
      </c>
      <c r="E39" s="64"/>
      <c r="F39" s="64"/>
      <c r="G39" s="78"/>
      <c r="H39" s="102"/>
      <c r="I39" s="125" t="s">
        <v>112</v>
      </c>
      <c r="J39" s="64"/>
      <c r="K39" s="64"/>
      <c r="L39" s="114"/>
      <c r="M39" s="541"/>
      <c r="P39"/>
      <c r="Q39"/>
      <c r="R39"/>
      <c r="S39"/>
    </row>
    <row r="40" ht="15" customHeight="1" spans="2:19">
      <c r="B40" s="66"/>
      <c r="C40" s="64"/>
      <c r="D40" s="64"/>
      <c r="E40" s="64"/>
      <c r="F40" s="64"/>
      <c r="G40" s="78"/>
      <c r="H40" s="102"/>
      <c r="I40" s="66"/>
      <c r="J40" s="64" t="s">
        <v>113</v>
      </c>
      <c r="K40" s="172" t="s">
        <v>114</v>
      </c>
      <c r="L40" s="75">
        <v>50.6620858895706</v>
      </c>
      <c r="M40" s="541"/>
      <c r="P40"/>
      <c r="Q40"/>
      <c r="R40"/>
      <c r="S40"/>
    </row>
    <row r="41" ht="15" customHeight="1" spans="2:19">
      <c r="B41" s="506"/>
      <c r="C41" s="64"/>
      <c r="D41" s="67" t="s">
        <v>115</v>
      </c>
      <c r="E41" s="67" t="s">
        <v>273</v>
      </c>
      <c r="F41" s="67" t="s">
        <v>315</v>
      </c>
      <c r="G41" s="78"/>
      <c r="H41" s="102"/>
      <c r="I41" s="66"/>
      <c r="J41" s="64" t="s">
        <v>113</v>
      </c>
      <c r="K41" s="78" t="s">
        <v>116</v>
      </c>
      <c r="L41" s="75">
        <v>43.4058461538461</v>
      </c>
      <c r="M41" s="541"/>
      <c r="P41"/>
      <c r="Q41"/>
      <c r="R41"/>
      <c r="S41"/>
    </row>
    <row r="42" ht="15" customHeight="1" spans="2:13">
      <c r="B42" s="506" t="s">
        <v>118</v>
      </c>
      <c r="C42" s="64"/>
      <c r="D42" s="78" t="s">
        <v>119</v>
      </c>
      <c r="E42" s="78" t="s">
        <v>119</v>
      </c>
      <c r="F42" s="78" t="s">
        <v>119</v>
      </c>
      <c r="G42" s="78"/>
      <c r="H42" s="102"/>
      <c r="I42" s="66"/>
      <c r="J42" s="64" t="s">
        <v>113</v>
      </c>
      <c r="K42" s="78" t="s">
        <v>120</v>
      </c>
      <c r="L42" s="188" t="s">
        <v>457</v>
      </c>
      <c r="M42" s="541"/>
    </row>
    <row r="43" ht="15" customHeight="1" spans="2:17">
      <c r="B43" s="506" t="s">
        <v>121</v>
      </c>
      <c r="C43" s="64" t="s">
        <v>122</v>
      </c>
      <c r="D43" s="77">
        <v>190</v>
      </c>
      <c r="E43" s="77">
        <v>210</v>
      </c>
      <c r="F43" s="77">
        <v>190</v>
      </c>
      <c r="G43" s="77"/>
      <c r="H43" s="102"/>
      <c r="I43" s="66"/>
      <c r="J43" s="64" t="s">
        <v>123</v>
      </c>
      <c r="K43" s="172" t="s">
        <v>124</v>
      </c>
      <c r="L43" s="77">
        <v>421.533742331288</v>
      </c>
      <c r="M43" s="541"/>
      <c r="Q43" s="156" t="s">
        <v>458</v>
      </c>
    </row>
    <row r="44" ht="15" customHeight="1" spans="2:18">
      <c r="B44" s="506" t="s">
        <v>125</v>
      </c>
      <c r="C44" s="64" t="s">
        <v>122</v>
      </c>
      <c r="D44" s="77">
        <f>D43/D45*D46</f>
        <v>214.181818181818</v>
      </c>
      <c r="E44" s="77">
        <v>213</v>
      </c>
      <c r="F44" s="77">
        <v>205</v>
      </c>
      <c r="G44" s="77"/>
      <c r="H44" s="102"/>
      <c r="I44" s="148" t="s">
        <v>126</v>
      </c>
      <c r="J44" s="64"/>
      <c r="K44" s="64"/>
      <c r="L44" s="114"/>
      <c r="M44" s="541"/>
      <c r="Q44" s="182" t="e">
        <f>#REF!</f>
        <v>#REF!</v>
      </c>
      <c r="R44" s="182" t="e">
        <f>#REF!</f>
        <v>#REF!</v>
      </c>
    </row>
    <row r="45" ht="15" customHeight="1" spans="2:18">
      <c r="B45" s="506" t="s">
        <v>127</v>
      </c>
      <c r="C45" s="64" t="s">
        <v>59</v>
      </c>
      <c r="D45" s="78">
        <v>38.5</v>
      </c>
      <c r="E45" s="78">
        <v>40.1</v>
      </c>
      <c r="F45" s="78">
        <v>38.5</v>
      </c>
      <c r="G45" s="78"/>
      <c r="H45" s="102"/>
      <c r="I45" s="64"/>
      <c r="J45" s="64"/>
      <c r="K45" s="78" t="s">
        <v>128</v>
      </c>
      <c r="L45" s="102" t="s">
        <v>129</v>
      </c>
      <c r="M45" s="541"/>
      <c r="Q45" s="156" t="e">
        <f>SUM(#REF!)</f>
        <v>#REF!</v>
      </c>
      <c r="R45" s="156" t="s">
        <v>459</v>
      </c>
    </row>
    <row r="46" ht="15" customHeight="1" spans="2:13">
      <c r="B46" s="506" t="s">
        <v>130</v>
      </c>
      <c r="C46" s="64" t="s">
        <v>59</v>
      </c>
      <c r="D46" s="78">
        <v>43.4</v>
      </c>
      <c r="E46" s="78">
        <v>40.6</v>
      </c>
      <c r="F46" s="78">
        <v>43.4</v>
      </c>
      <c r="G46" s="78"/>
      <c r="H46" s="102"/>
      <c r="I46" s="66"/>
      <c r="J46" s="64" t="s">
        <v>131</v>
      </c>
      <c r="K46" s="77">
        <v>113.972624921227</v>
      </c>
      <c r="L46" s="77">
        <v>57.7409091281902</v>
      </c>
      <c r="M46" s="541"/>
    </row>
    <row r="47" ht="15" customHeight="1" spans="2:17">
      <c r="B47" s="506" t="s">
        <v>132</v>
      </c>
      <c r="C47" s="64" t="s">
        <v>62</v>
      </c>
      <c r="D47" s="78" t="s">
        <v>133</v>
      </c>
      <c r="E47" s="78" t="s">
        <v>133</v>
      </c>
      <c r="F47" s="78" t="s">
        <v>133</v>
      </c>
      <c r="G47" s="78"/>
      <c r="H47" s="102"/>
      <c r="I47" s="66"/>
      <c r="J47" s="64" t="s">
        <v>134</v>
      </c>
      <c r="K47" s="77">
        <v>688.135732770741</v>
      </c>
      <c r="L47" s="77">
        <v>348.623915973139</v>
      </c>
      <c r="M47" s="541"/>
      <c r="Q47" s="156" t="s">
        <v>460</v>
      </c>
    </row>
    <row r="48" ht="15" customHeight="1" spans="2:18">
      <c r="B48" s="506" t="s">
        <v>135</v>
      </c>
      <c r="C48" s="64" t="s">
        <v>240</v>
      </c>
      <c r="D48" s="69">
        <v>8454</v>
      </c>
      <c r="E48" s="69">
        <v>8274</v>
      </c>
      <c r="F48" s="69">
        <v>8511</v>
      </c>
      <c r="G48" s="78"/>
      <c r="H48" s="102"/>
      <c r="I48" s="148" t="s">
        <v>137</v>
      </c>
      <c r="J48" s="64"/>
      <c r="K48" s="64"/>
      <c r="L48" s="114"/>
      <c r="M48" s="541"/>
      <c r="Q48" s="182" t="e">
        <f>#REF!</f>
        <v>#REF!</v>
      </c>
      <c r="R48" s="156" t="s">
        <v>461</v>
      </c>
    </row>
    <row r="49" ht="15" customHeight="1" spans="2:13">
      <c r="B49" s="506" t="s">
        <v>138</v>
      </c>
      <c r="C49" s="64" t="s">
        <v>240</v>
      </c>
      <c r="D49" s="69">
        <v>8112.67894736842</v>
      </c>
      <c r="E49" s="69">
        <v>8227.88095238095</v>
      </c>
      <c r="F49" s="69">
        <v>8474.19473684211</v>
      </c>
      <c r="G49" s="69"/>
      <c r="H49" s="98"/>
      <c r="I49" s="66"/>
      <c r="J49" s="64" t="s">
        <v>139</v>
      </c>
      <c r="K49" s="69">
        <v>13368.1123287671</v>
      </c>
      <c r="L49" s="98"/>
      <c r="M49" s="541"/>
    </row>
    <row r="50" ht="15" customHeight="1" spans="2:17">
      <c r="B50" s="506" t="s">
        <v>140</v>
      </c>
      <c r="C50" s="64" t="s">
        <v>59</v>
      </c>
      <c r="D50" s="75">
        <v>92.6104902667628</v>
      </c>
      <c r="E50" s="75">
        <v>93.9255816481844</v>
      </c>
      <c r="F50" s="75">
        <v>96.7373828406633</v>
      </c>
      <c r="G50" s="69"/>
      <c r="H50" s="98"/>
      <c r="I50" s="66"/>
      <c r="J50" s="64" t="s">
        <v>141</v>
      </c>
      <c r="K50" s="69">
        <v>210.695537462729</v>
      </c>
      <c r="L50" s="114"/>
      <c r="M50" s="541"/>
      <c r="Q50" s="156" t="s">
        <v>462</v>
      </c>
    </row>
    <row r="51" ht="15" customHeight="1" spans="2:20">
      <c r="B51" s="66"/>
      <c r="C51" s="64"/>
      <c r="D51" s="64"/>
      <c r="E51" s="64"/>
      <c r="F51" s="64"/>
      <c r="G51" s="78"/>
      <c r="H51" s="102"/>
      <c r="I51" s="65"/>
      <c r="J51" s="64"/>
      <c r="K51" s="78"/>
      <c r="L51" s="114"/>
      <c r="Q51" s="182" t="e">
        <f>#REF!</f>
        <v>#REF!</v>
      </c>
      <c r="R51" s="182" t="e">
        <f>#REF!</f>
        <v>#REF!</v>
      </c>
      <c r="S51" s="182" t="e">
        <f>#REF!</f>
        <v>#REF!</v>
      </c>
      <c r="T51" s="156" t="s">
        <v>463</v>
      </c>
    </row>
    <row r="52" ht="15" customHeight="1" spans="2:12">
      <c r="B52" s="515" t="s">
        <v>142</v>
      </c>
      <c r="C52" s="94"/>
      <c r="D52" s="94"/>
      <c r="E52" s="94"/>
      <c r="F52" s="94"/>
      <c r="G52" s="99"/>
      <c r="H52" s="109"/>
      <c r="I52" s="66"/>
      <c r="J52" s="64"/>
      <c r="K52" s="78"/>
      <c r="L52" s="114"/>
    </row>
    <row r="53" ht="15" customHeight="1" spans="2:12">
      <c r="B53" s="516" t="s">
        <v>143</v>
      </c>
      <c r="C53" s="65"/>
      <c r="D53" s="64"/>
      <c r="E53" s="64"/>
      <c r="F53" s="64"/>
      <c r="G53" s="110" t="s">
        <v>144</v>
      </c>
      <c r="H53" s="530"/>
      <c r="I53" s="140"/>
      <c r="J53" s="140"/>
      <c r="K53" s="140"/>
      <c r="L53" s="152"/>
    </row>
    <row r="54" ht="15" customHeight="1" spans="2:12">
      <c r="B54" s="516"/>
      <c r="C54" s="91" t="s">
        <v>145</v>
      </c>
      <c r="D54" s="64"/>
      <c r="E54" s="64"/>
      <c r="F54" s="64"/>
      <c r="G54" s="110"/>
      <c r="H54" s="530"/>
      <c r="I54" s="537" t="s">
        <v>145</v>
      </c>
      <c r="J54" s="64"/>
      <c r="K54" s="64"/>
      <c r="L54" s="114"/>
    </row>
    <row r="55" ht="15" customHeight="1" spans="2:12">
      <c r="B55" s="506" t="s">
        <v>464</v>
      </c>
      <c r="C55" s="93">
        <v>278842.7</v>
      </c>
      <c r="D55" s="540">
        <v>6</v>
      </c>
      <c r="E55" s="111" t="s">
        <v>147</v>
      </c>
      <c r="F55" s="64"/>
      <c r="G55" s="64" t="s">
        <v>465</v>
      </c>
      <c r="H55" s="64"/>
      <c r="I55" s="92">
        <v>769069.999999999</v>
      </c>
      <c r="J55" s="540">
        <v>15</v>
      </c>
      <c r="K55" s="64" t="s">
        <v>149</v>
      </c>
      <c r="L55" s="114"/>
    </row>
    <row r="56" ht="15" customHeight="1" spans="2:12">
      <c r="B56" s="66" t="s">
        <v>466</v>
      </c>
      <c r="C56" s="93">
        <v>76773.3</v>
      </c>
      <c r="D56" s="540">
        <v>2</v>
      </c>
      <c r="E56" s="111" t="s">
        <v>147</v>
      </c>
      <c r="F56" s="64"/>
      <c r="G56" s="64" t="s">
        <v>467</v>
      </c>
      <c r="H56" s="64"/>
      <c r="I56" s="92">
        <v>1802930</v>
      </c>
      <c r="J56" s="540">
        <v>35</v>
      </c>
      <c r="K56" s="64" t="s">
        <v>149</v>
      </c>
      <c r="L56" s="114"/>
    </row>
    <row r="57" ht="15" customHeight="1" spans="2:12">
      <c r="B57" s="66" t="s">
        <v>468</v>
      </c>
      <c r="C57" s="93">
        <v>202069.4</v>
      </c>
      <c r="D57" s="540">
        <v>4</v>
      </c>
      <c r="E57" s="111" t="s">
        <v>147</v>
      </c>
      <c r="F57" s="64"/>
      <c r="G57" s="64" t="s">
        <v>469</v>
      </c>
      <c r="H57" s="64"/>
      <c r="I57" s="92">
        <v>846339.000000001</v>
      </c>
      <c r="J57" s="540">
        <v>16</v>
      </c>
      <c r="K57" s="64" t="s">
        <v>149</v>
      </c>
      <c r="L57" s="114"/>
    </row>
    <row r="58" ht="15" customHeight="1" spans="2:17">
      <c r="B58" s="518"/>
      <c r="C58" s="94"/>
      <c r="D58" s="94"/>
      <c r="E58" s="94"/>
      <c r="F58" s="94"/>
      <c r="G58" s="94"/>
      <c r="H58" s="94"/>
      <c r="I58" s="94"/>
      <c r="J58" s="94"/>
      <c r="K58" s="94"/>
      <c r="L58" s="115"/>
      <c r="Q58" s="156" t="s">
        <v>470</v>
      </c>
    </row>
    <row r="59" ht="15" customHeight="1" spans="17:17">
      <c r="Q59" s="182" t="e">
        <f>#REF!</f>
        <v>#REF!</v>
      </c>
    </row>
    <row r="60" ht="15" customHeight="1" spans="3:8">
      <c r="C60"/>
      <c r="D60"/>
      <c r="E60"/>
      <c r="F60"/>
      <c r="G60"/>
      <c r="H60"/>
    </row>
    <row r="61" ht="15" customHeight="1" spans="3:8">
      <c r="C61"/>
      <c r="D61"/>
      <c r="E61"/>
      <c r="F61"/>
      <c r="G61"/>
      <c r="H61"/>
    </row>
    <row r="62" ht="15" customHeight="1" spans="7:8">
      <c r="G62"/>
      <c r="H62"/>
    </row>
    <row r="63" ht="15" customHeight="1"/>
    <row r="64" ht="15" customHeight="1" spans="9:9">
      <c r="I64" s="156" t="s">
        <v>471</v>
      </c>
    </row>
  </sheetData>
  <mergeCells count="1">
    <mergeCell ref="B2:L2"/>
  </mergeCells>
  <pageMargins left="0.7" right="0.7" top="0.787401575" bottom="0.787401575" header="0.3" footer="0.3"/>
  <pageSetup paperSize="9" orientation="portrait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249977111117893"/>
  </sheetPr>
  <dimension ref="A1:L52"/>
  <sheetViews>
    <sheetView zoomScale="85" zoomScaleNormal="85" workbookViewId="0">
      <selection activeCell="A1" sqref="A1"/>
    </sheetView>
  </sheetViews>
  <sheetFormatPr defaultColWidth="11.5" defaultRowHeight="16.8"/>
  <cols>
    <col min="1" max="1" width="14.3365384615385" customWidth="1"/>
  </cols>
  <sheetData>
    <row r="1" spans="1:10">
      <c r="A1" t="s">
        <v>154</v>
      </c>
      <c r="B1" t="s">
        <v>155</v>
      </c>
      <c r="C1" t="s">
        <v>58</v>
      </c>
      <c r="D1" t="s">
        <v>372</v>
      </c>
      <c r="E1" t="s">
        <v>472</v>
      </c>
      <c r="F1" t="s">
        <v>157</v>
      </c>
      <c r="G1" t="s">
        <v>382</v>
      </c>
      <c r="H1" t="s">
        <v>385</v>
      </c>
      <c r="I1" t="s">
        <v>473</v>
      </c>
      <c r="J1" t="s">
        <v>384</v>
      </c>
    </row>
    <row r="2" spans="2:10">
      <c r="B2" t="s">
        <v>59</v>
      </c>
      <c r="C2" t="s">
        <v>59</v>
      </c>
      <c r="D2" t="s">
        <v>59</v>
      </c>
      <c r="E2" t="s">
        <v>59</v>
      </c>
      <c r="F2" t="s">
        <v>59</v>
      </c>
      <c r="G2" t="s">
        <v>59</v>
      </c>
      <c r="H2" t="s">
        <v>56</v>
      </c>
      <c r="I2" t="s">
        <v>59</v>
      </c>
      <c r="J2" t="s">
        <v>59</v>
      </c>
    </row>
    <row r="3" spans="1:10">
      <c r="A3" s="245">
        <v>42644</v>
      </c>
      <c r="B3" s="191">
        <v>72.4120880165839</v>
      </c>
      <c r="C3" s="191">
        <v>23.5826629390845</v>
      </c>
      <c r="D3" s="191">
        <v>3.94629238698389</v>
      </c>
      <c r="E3" s="191">
        <v>0</v>
      </c>
      <c r="F3" s="191">
        <v>0</v>
      </c>
      <c r="G3" s="191">
        <v>0</v>
      </c>
      <c r="H3" s="191">
        <v>67.8464516129032</v>
      </c>
      <c r="I3" s="191">
        <v>0</v>
      </c>
      <c r="J3" s="191">
        <v>0.0589566573477112</v>
      </c>
    </row>
    <row r="4" spans="1:10">
      <c r="A4" s="245">
        <v>42675</v>
      </c>
      <c r="B4" s="191">
        <v>72.8382400760399</v>
      </c>
      <c r="C4" s="191">
        <v>23.2121863978589</v>
      </c>
      <c r="D4" s="191">
        <v>3.88954200955502</v>
      </c>
      <c r="E4" s="191">
        <v>0</v>
      </c>
      <c r="F4" s="191">
        <v>0</v>
      </c>
      <c r="G4" s="191">
        <v>0</v>
      </c>
      <c r="H4" s="191">
        <v>66.6316666666667</v>
      </c>
      <c r="I4" s="191">
        <v>0</v>
      </c>
      <c r="J4" s="191">
        <v>0.0600315165461867</v>
      </c>
    </row>
    <row r="5" spans="1:10">
      <c r="A5" s="245">
        <v>42705</v>
      </c>
      <c r="B5" s="191">
        <v>70.6246425361549</v>
      </c>
      <c r="C5" s="191">
        <v>25.2778004738949</v>
      </c>
      <c r="D5" s="191">
        <v>4.03423482310646</v>
      </c>
      <c r="E5" s="191">
        <v>0</v>
      </c>
      <c r="F5" s="191">
        <v>0</v>
      </c>
      <c r="G5" s="191">
        <v>0</v>
      </c>
      <c r="H5" s="191">
        <v>63.1690322580645</v>
      </c>
      <c r="I5" s="191">
        <v>0</v>
      </c>
      <c r="J5" s="191">
        <v>0.0633221668436964</v>
      </c>
    </row>
    <row r="6" spans="1:10">
      <c r="A6" s="245">
        <v>42736</v>
      </c>
      <c r="B6" s="191">
        <v>71.4036350941502</v>
      </c>
      <c r="C6" s="191">
        <v>23.9466736488403</v>
      </c>
      <c r="D6" s="191">
        <v>4.58205144989199</v>
      </c>
      <c r="E6" s="191">
        <v>0</v>
      </c>
      <c r="F6" s="191">
        <v>0</v>
      </c>
      <c r="G6" s="191">
        <v>0</v>
      </c>
      <c r="H6" s="191">
        <v>59.1367741935484</v>
      </c>
      <c r="I6" s="191">
        <v>0</v>
      </c>
      <c r="J6" s="191">
        <v>0.0676398071174533</v>
      </c>
    </row>
    <row r="7" spans="1:10">
      <c r="A7" s="245">
        <v>42767</v>
      </c>
      <c r="B7" s="191">
        <v>73.7701138826133</v>
      </c>
      <c r="C7" s="191">
        <v>22.8226289824335</v>
      </c>
      <c r="D7" s="191">
        <v>3.34270828530592</v>
      </c>
      <c r="E7" s="191">
        <v>0</v>
      </c>
      <c r="F7" s="191">
        <v>0</v>
      </c>
      <c r="G7" s="191">
        <v>0</v>
      </c>
      <c r="H7" s="191">
        <v>61.9685714285714</v>
      </c>
      <c r="I7" s="191">
        <v>0</v>
      </c>
      <c r="J7" s="191">
        <v>0.0645488496472867</v>
      </c>
    </row>
    <row r="8" spans="1:10">
      <c r="A8" s="245">
        <v>42795</v>
      </c>
      <c r="B8" s="191">
        <v>71.0773887839188</v>
      </c>
      <c r="C8" s="191">
        <v>24.5333227813665</v>
      </c>
      <c r="D8" s="191">
        <v>4.32795512776124</v>
      </c>
      <c r="E8" s="191">
        <v>0</v>
      </c>
      <c r="F8" s="191">
        <v>0</v>
      </c>
      <c r="G8" s="191">
        <v>0</v>
      </c>
      <c r="H8" s="191">
        <v>65.2174193548387</v>
      </c>
      <c r="I8" s="191">
        <v>0</v>
      </c>
      <c r="J8" s="191">
        <v>0.0613333069534164</v>
      </c>
    </row>
    <row r="9" spans="1:10">
      <c r="A9" s="245">
        <v>42826</v>
      </c>
      <c r="B9" s="191">
        <v>70.3563468406778</v>
      </c>
      <c r="C9" s="191">
        <v>24.973817771691</v>
      </c>
      <c r="D9" s="191">
        <v>4.06831547571095</v>
      </c>
      <c r="E9" s="191">
        <v>0</v>
      </c>
      <c r="F9" s="191">
        <v>0.537071349928838</v>
      </c>
      <c r="G9" s="191">
        <v>0</v>
      </c>
      <c r="H9" s="191">
        <v>62.065</v>
      </c>
      <c r="I9" s="191">
        <v>0</v>
      </c>
      <c r="J9" s="191">
        <v>0.0644485619914606</v>
      </c>
    </row>
    <row r="10" spans="1:10">
      <c r="A10" s="245">
        <v>42856</v>
      </c>
      <c r="B10" s="191">
        <v>73.8263821044044</v>
      </c>
      <c r="C10" s="191">
        <v>20.0932649793024</v>
      </c>
      <c r="D10" s="191">
        <v>5.06108553989948</v>
      </c>
      <c r="E10" s="191">
        <v>0</v>
      </c>
      <c r="F10" s="191">
        <v>0.956822141871544</v>
      </c>
      <c r="G10" s="191">
        <v>0</v>
      </c>
      <c r="H10" s="191">
        <v>64.0561290322581</v>
      </c>
      <c r="I10" s="191">
        <v>0</v>
      </c>
      <c r="J10" s="191">
        <v>0.0624452345221429</v>
      </c>
    </row>
    <row r="11" spans="1:10">
      <c r="A11" s="245">
        <v>42887</v>
      </c>
      <c r="B11" s="191">
        <v>74.7113552292344</v>
      </c>
      <c r="C11" s="191">
        <v>16.8703060195045</v>
      </c>
      <c r="D11" s="191">
        <v>8.35108171729627</v>
      </c>
      <c r="E11" s="191">
        <v>0</v>
      </c>
      <c r="F11" s="191">
        <v>0</v>
      </c>
      <c r="G11" s="191">
        <v>0</v>
      </c>
      <c r="H11" s="191">
        <v>59.4733333333333</v>
      </c>
      <c r="I11" s="191">
        <v>0</v>
      </c>
      <c r="J11" s="191">
        <v>0.0672570339648021</v>
      </c>
    </row>
    <row r="12" spans="1:10">
      <c r="A12" s="245">
        <v>42917</v>
      </c>
      <c r="B12" s="191">
        <v>74.8108602503306</v>
      </c>
      <c r="C12" s="191">
        <v>17.1493334128665</v>
      </c>
      <c r="D12" s="191">
        <v>3.98908407647111</v>
      </c>
      <c r="E12" s="191">
        <v>3.98908407647111</v>
      </c>
      <c r="F12" s="191">
        <v>0</v>
      </c>
      <c r="G12" s="191">
        <v>0</v>
      </c>
      <c r="H12" s="191">
        <v>64.8948387096774</v>
      </c>
      <c r="I12" s="191">
        <v>0</v>
      </c>
      <c r="J12" s="191">
        <v>0.0616381838607375</v>
      </c>
    </row>
    <row r="13" spans="1:10">
      <c r="A13" s="245">
        <v>42948</v>
      </c>
      <c r="B13" s="191">
        <v>72.2694835302181</v>
      </c>
      <c r="C13" s="191">
        <v>22.6283110914002</v>
      </c>
      <c r="D13" s="191">
        <v>2.51985646897553</v>
      </c>
      <c r="E13" s="191">
        <v>2.51985646897553</v>
      </c>
      <c r="F13" s="191">
        <v>0</v>
      </c>
      <c r="G13" s="191">
        <v>0</v>
      </c>
      <c r="H13" s="191">
        <v>64.0077419354839</v>
      </c>
      <c r="I13" s="191">
        <v>0</v>
      </c>
      <c r="J13" s="191">
        <v>0.0624924404305931</v>
      </c>
    </row>
    <row r="14" spans="1:10">
      <c r="A14" s="245">
        <v>42979</v>
      </c>
      <c r="B14" s="191">
        <v>73.4594005159712</v>
      </c>
      <c r="C14" s="191">
        <v>22.1814409957712</v>
      </c>
      <c r="D14" s="191">
        <v>2.14766350168887</v>
      </c>
      <c r="E14" s="191">
        <v>2.14766350168887</v>
      </c>
      <c r="F14" s="191">
        <v>0</v>
      </c>
      <c r="G14" s="191">
        <v>0</v>
      </c>
      <c r="H14" s="191">
        <v>62.665</v>
      </c>
      <c r="I14" s="191">
        <v>0</v>
      </c>
      <c r="J14" s="191">
        <v>0.063831484879917</v>
      </c>
    </row>
    <row r="15" spans="1:10">
      <c r="A15" t="s">
        <v>474</v>
      </c>
      <c r="B15" s="191">
        <v>72.6174360435869</v>
      </c>
      <c r="C15" s="191">
        <v>22.2900163439969</v>
      </c>
      <c r="D15" s="191">
        <v>4.16750329794653</v>
      </c>
      <c r="E15" s="191">
        <v>0.736775288394899</v>
      </c>
      <c r="F15" s="191">
        <v>0.125224810921331</v>
      </c>
      <c r="G15" s="191">
        <v>0</v>
      </c>
      <c r="H15" s="191">
        <v>63.4276632104455</v>
      </c>
      <c r="I15" s="191">
        <v>0</v>
      </c>
      <c r="J15" s="191">
        <v>0.0630442151534975</v>
      </c>
    </row>
    <row r="18" spans="1:12">
      <c r="A18" s="458"/>
      <c r="B18" s="458"/>
      <c r="C18" s="458"/>
      <c r="D18" s="458"/>
      <c r="E18" s="458"/>
      <c r="F18" s="458"/>
      <c r="G18" s="458"/>
      <c r="H18" s="458"/>
      <c r="I18" s="458"/>
      <c r="J18" s="458"/>
      <c r="K18" s="458"/>
      <c r="L18" s="458"/>
    </row>
    <row r="19" spans="1:12">
      <c r="A19" s="458"/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</row>
    <row r="20" spans="1:12">
      <c r="A20" s="458"/>
      <c r="B20" s="458"/>
      <c r="C20" s="458"/>
      <c r="D20" s="458" t="s">
        <v>104</v>
      </c>
      <c r="E20" t="s">
        <v>22</v>
      </c>
      <c r="F20" s="458"/>
      <c r="G20" s="458"/>
      <c r="H20" s="458"/>
      <c r="I20" s="458"/>
      <c r="J20" s="458"/>
      <c r="K20" s="458"/>
      <c r="L20" s="458"/>
    </row>
    <row r="21" ht="34" spans="1:12">
      <c r="A21" s="458"/>
      <c r="B21" s="458"/>
      <c r="C21" s="458"/>
      <c r="D21" s="460"/>
      <c r="E21" s="260" t="s">
        <v>475</v>
      </c>
      <c r="F21" s="260"/>
      <c r="G21" s="458"/>
      <c r="H21" s="458"/>
      <c r="I21" s="458"/>
      <c r="J21" s="458"/>
      <c r="K21" s="458"/>
      <c r="L21" s="458"/>
    </row>
    <row r="22" spans="1:12">
      <c r="A22" s="458"/>
      <c r="B22" s="458"/>
      <c r="C22" s="458"/>
      <c r="D22" s="461">
        <f t="shared" ref="D22:D33" si="0">A3</f>
        <v>42644</v>
      </c>
      <c r="E22" s="472">
        <v>0.184211782793831</v>
      </c>
      <c r="F22" s="261"/>
      <c r="G22" s="458"/>
      <c r="H22" s="458"/>
      <c r="I22" s="458"/>
      <c r="J22" s="458"/>
      <c r="K22" s="458"/>
      <c r="L22" s="458"/>
    </row>
    <row r="23" spans="1:12">
      <c r="A23" s="458"/>
      <c r="B23" s="458"/>
      <c r="C23" s="458"/>
      <c r="D23" s="461">
        <f t="shared" si="0"/>
        <v>42675</v>
      </c>
      <c r="E23" s="472">
        <v>0.345230673115137</v>
      </c>
      <c r="F23" s="261"/>
      <c r="G23" s="458"/>
      <c r="H23" s="458"/>
      <c r="I23" s="458"/>
      <c r="J23" s="458"/>
      <c r="K23" s="458"/>
      <c r="L23" s="458"/>
    </row>
    <row r="24" spans="1:12">
      <c r="A24" s="458"/>
      <c r="B24" s="458"/>
      <c r="C24" s="458"/>
      <c r="D24" s="461">
        <f t="shared" si="0"/>
        <v>42705</v>
      </c>
      <c r="E24" s="472">
        <v>0.187426980785928</v>
      </c>
      <c r="F24" s="261"/>
      <c r="G24" s="458"/>
      <c r="H24" s="458"/>
      <c r="I24" s="458"/>
      <c r="J24" s="458"/>
      <c r="K24" s="458"/>
      <c r="L24" s="458"/>
    </row>
    <row r="25" spans="1:12">
      <c r="A25" s="458"/>
      <c r="B25" s="458"/>
      <c r="C25" s="458"/>
      <c r="D25" s="461">
        <f t="shared" si="0"/>
        <v>42736</v>
      </c>
      <c r="E25" s="472">
        <v>0.227181839154794</v>
      </c>
      <c r="F25" s="261"/>
      <c r="G25" s="458"/>
      <c r="H25" s="458"/>
      <c r="I25" s="458"/>
      <c r="J25" s="458"/>
      <c r="K25" s="458"/>
      <c r="L25" s="458"/>
    </row>
    <row r="26" spans="1:12">
      <c r="A26" s="458"/>
      <c r="B26" s="458"/>
      <c r="C26" s="458"/>
      <c r="D26" s="461">
        <f t="shared" si="0"/>
        <v>42767</v>
      </c>
      <c r="E26" s="472">
        <v>0.192000544825816</v>
      </c>
      <c r="F26" s="261"/>
      <c r="G26" s="458"/>
      <c r="H26" s="458"/>
      <c r="I26" s="458"/>
      <c r="J26" s="458"/>
      <c r="K26" s="458"/>
      <c r="L26" s="458"/>
    </row>
    <row r="27" spans="1:12">
      <c r="A27" s="458"/>
      <c r="B27" s="458"/>
      <c r="C27" s="458"/>
      <c r="D27" s="461">
        <f t="shared" si="0"/>
        <v>42795</v>
      </c>
      <c r="E27" s="472">
        <v>0.141699089150709</v>
      </c>
      <c r="F27" s="261"/>
      <c r="G27" s="458"/>
      <c r="H27" s="458"/>
      <c r="I27" s="458"/>
      <c r="J27" s="458"/>
      <c r="K27" s="458"/>
      <c r="L27" s="458"/>
    </row>
    <row r="28" spans="1:12">
      <c r="A28" s="458"/>
      <c r="B28" t="s">
        <v>77</v>
      </c>
      <c r="C28" s="458"/>
      <c r="D28" s="461">
        <f t="shared" si="0"/>
        <v>42826</v>
      </c>
      <c r="E28" s="472">
        <v>0.132972501041741</v>
      </c>
      <c r="F28" s="261"/>
      <c r="G28" s="458"/>
      <c r="H28" s="458"/>
      <c r="I28" s="458"/>
      <c r="J28" s="458"/>
      <c r="K28" s="458"/>
      <c r="L28" s="458"/>
    </row>
    <row r="29" spans="1:12">
      <c r="A29" s="458"/>
      <c r="B29" s="458"/>
      <c r="C29" s="458"/>
      <c r="D29" s="461">
        <f t="shared" si="0"/>
        <v>42856</v>
      </c>
      <c r="E29" s="472">
        <v>0.283096856097893</v>
      </c>
      <c r="F29" s="261"/>
      <c r="G29" s="458"/>
      <c r="H29" s="458"/>
      <c r="I29" s="458"/>
      <c r="J29" s="458"/>
      <c r="K29" s="458"/>
      <c r="L29" s="458"/>
    </row>
    <row r="30" spans="1:12">
      <c r="A30" s="458"/>
      <c r="B30" s="458"/>
      <c r="C30" s="458"/>
      <c r="D30" s="461">
        <f t="shared" si="0"/>
        <v>42887</v>
      </c>
      <c r="E30" s="472">
        <v>0.147646887929134</v>
      </c>
      <c r="F30" s="261"/>
      <c r="G30" s="458"/>
      <c r="H30" s="458"/>
      <c r="I30" s="458"/>
      <c r="J30" s="458"/>
      <c r="K30" s="458"/>
      <c r="L30" s="458"/>
    </row>
    <row r="31" spans="1:12">
      <c r="A31" s="458"/>
      <c r="B31" s="458"/>
      <c r="C31" t="s">
        <v>77</v>
      </c>
      <c r="D31" s="461">
        <f t="shared" si="0"/>
        <v>42917</v>
      </c>
      <c r="E31" s="472">
        <v>0.160177342918505</v>
      </c>
      <c r="F31" s="261"/>
      <c r="G31" s="458"/>
      <c r="H31" s="458"/>
      <c r="I31" s="458"/>
      <c r="J31" s="458"/>
      <c r="K31" s="458"/>
      <c r="L31" s="458"/>
    </row>
    <row r="32" spans="1:12">
      <c r="A32" s="458"/>
      <c r="B32" s="458"/>
      <c r="C32" s="458"/>
      <c r="D32" s="461">
        <f t="shared" si="0"/>
        <v>42948</v>
      </c>
      <c r="E32" s="472">
        <v>0.145042691184383</v>
      </c>
      <c r="F32" s="261"/>
      <c r="G32" s="458"/>
      <c r="H32" s="458"/>
      <c r="I32" s="458"/>
      <c r="J32" s="458"/>
      <c r="K32" s="458"/>
      <c r="L32" s="458"/>
    </row>
    <row r="33" spans="1:12">
      <c r="A33" s="458"/>
      <c r="B33" s="458"/>
      <c r="C33" s="458"/>
      <c r="D33" s="461">
        <f t="shared" si="0"/>
        <v>42979</v>
      </c>
      <c r="E33" s="472">
        <v>0.439157543212464</v>
      </c>
      <c r="F33" s="262"/>
      <c r="G33" s="458"/>
      <c r="H33" s="458"/>
      <c r="I33" s="458"/>
      <c r="J33" s="458"/>
      <c r="K33" s="458"/>
      <c r="L33" s="458"/>
    </row>
    <row r="34" ht="17.55" spans="1:12">
      <c r="A34" s="458"/>
      <c r="B34" s="458"/>
      <c r="C34" s="458"/>
      <c r="D34" s="248"/>
      <c r="E34" s="248">
        <f>AVERAGE(E22:E33)</f>
        <v>0.215487061017528</v>
      </c>
      <c r="F34" s="248"/>
      <c r="G34" s="458"/>
      <c r="H34" s="458"/>
      <c r="I34" s="458"/>
      <c r="J34" s="458"/>
      <c r="K34" s="458"/>
      <c r="L34" s="458"/>
    </row>
    <row r="35" ht="17.55" spans="1:12">
      <c r="A35" s="458"/>
      <c r="B35" s="458"/>
      <c r="C35" s="458"/>
      <c r="D35" s="458"/>
      <c r="E35" s="458"/>
      <c r="F35" s="458"/>
      <c r="G35" s="458"/>
      <c r="H35" s="458"/>
      <c r="I35" s="458"/>
      <c r="J35" s="458"/>
      <c r="K35" s="458"/>
      <c r="L35" s="458"/>
    </row>
    <row r="36" spans="1:12">
      <c r="A36" s="458"/>
      <c r="B36" s="458"/>
      <c r="C36" s="458"/>
      <c r="D36" s="458"/>
      <c r="E36" s="458"/>
      <c r="F36" s="458"/>
      <c r="G36" s="458"/>
      <c r="H36" s="458"/>
      <c r="I36" s="458"/>
      <c r="J36" s="458"/>
      <c r="K36" s="458"/>
      <c r="L36" s="458"/>
    </row>
    <row r="38" spans="2:7">
      <c r="B38" t="s">
        <v>183</v>
      </c>
      <c r="C38" t="s">
        <v>184</v>
      </c>
      <c r="D38" t="s">
        <v>398</v>
      </c>
      <c r="E38" t="s">
        <v>399</v>
      </c>
      <c r="F38" t="s">
        <v>400</v>
      </c>
      <c r="G38" t="s">
        <v>401</v>
      </c>
    </row>
    <row r="39" spans="1:7">
      <c r="A39" s="228" t="s">
        <v>154</v>
      </c>
      <c r="B39" s="228" t="s">
        <v>59</v>
      </c>
      <c r="C39" s="228" t="s">
        <v>402</v>
      </c>
      <c r="D39" s="228"/>
      <c r="E39" s="228"/>
      <c r="F39" s="228"/>
      <c r="G39" s="228"/>
    </row>
    <row r="40" spans="1:7">
      <c r="A40" s="245">
        <v>42644</v>
      </c>
      <c r="B40" s="689">
        <f>100*0.990087935119373</f>
        <v>99.0087935119373</v>
      </c>
      <c r="C40" s="689">
        <f>100*0.490262191132808</f>
        <v>49.0262191132808</v>
      </c>
      <c r="D40">
        <v>31</v>
      </c>
      <c r="E40">
        <v>744</v>
      </c>
      <c r="F40">
        <v>590</v>
      </c>
      <c r="G40">
        <v>641</v>
      </c>
    </row>
    <row r="41" spans="1:7">
      <c r="A41" s="245">
        <v>42675</v>
      </c>
      <c r="B41" s="689">
        <f>100*0.955595574387947</f>
        <v>95.5595574387947</v>
      </c>
      <c r="C41" s="689">
        <f>100*0.523543941757669</f>
        <v>52.3543941757669</v>
      </c>
      <c r="D41">
        <v>30</v>
      </c>
      <c r="E41">
        <v>720</v>
      </c>
      <c r="F41">
        <v>590</v>
      </c>
      <c r="G41">
        <v>641</v>
      </c>
    </row>
    <row r="42" spans="1:7">
      <c r="A42" s="245">
        <v>42705</v>
      </c>
      <c r="B42" s="689">
        <f>100*0.965873883725169</f>
        <v>96.5873883725169</v>
      </c>
      <c r="C42" s="689">
        <f>100*0.527772885108955</f>
        <v>52.7772885108955</v>
      </c>
      <c r="D42">
        <v>31</v>
      </c>
      <c r="E42">
        <v>744</v>
      </c>
      <c r="F42">
        <v>590</v>
      </c>
      <c r="G42">
        <v>641</v>
      </c>
    </row>
    <row r="43" spans="1:7">
      <c r="A43" s="245">
        <v>42736</v>
      </c>
      <c r="B43" s="689">
        <f>100*0.887648077273556</f>
        <v>88.7648077273556</v>
      </c>
      <c r="C43" s="689">
        <f>100*0.355872460704881</f>
        <v>35.5872460704881</v>
      </c>
      <c r="D43">
        <v>31</v>
      </c>
      <c r="E43">
        <v>744</v>
      </c>
      <c r="F43">
        <v>590</v>
      </c>
      <c r="G43">
        <v>641</v>
      </c>
    </row>
    <row r="44" spans="1:7">
      <c r="A44" s="245">
        <v>42767</v>
      </c>
      <c r="B44" s="689">
        <f>100*0.836791263115416</f>
        <v>83.6791263115416</v>
      </c>
      <c r="C44" s="689">
        <f>100*0.45393405021915</f>
        <v>45.393405021915</v>
      </c>
      <c r="D44">
        <v>28</v>
      </c>
      <c r="E44">
        <v>672</v>
      </c>
      <c r="F44">
        <v>590</v>
      </c>
      <c r="G44">
        <v>641</v>
      </c>
    </row>
    <row r="45" spans="1:7">
      <c r="A45" s="245">
        <v>42795</v>
      </c>
      <c r="B45" s="689">
        <f>100*0.943224895206853</f>
        <v>94.3224895206853</v>
      </c>
      <c r="C45" s="689">
        <f>100*0.476202757787731</f>
        <v>47.6202757787731</v>
      </c>
      <c r="D45">
        <v>31</v>
      </c>
      <c r="E45">
        <v>744</v>
      </c>
      <c r="F45">
        <v>590</v>
      </c>
      <c r="G45">
        <v>641</v>
      </c>
    </row>
    <row r="46" spans="1:7">
      <c r="A46" s="245">
        <v>42826</v>
      </c>
      <c r="B46" s="689">
        <f>100*0.990816854990584</f>
        <v>99.0816854990584</v>
      </c>
      <c r="C46" s="689">
        <f>100*0.453107124284972</f>
        <v>45.3107124284972</v>
      </c>
      <c r="D46">
        <v>30</v>
      </c>
      <c r="E46">
        <v>720</v>
      </c>
      <c r="F46">
        <v>590</v>
      </c>
      <c r="G46">
        <v>641</v>
      </c>
    </row>
    <row r="47" spans="1:7">
      <c r="A47" s="245">
        <v>42856</v>
      </c>
      <c r="B47" s="689">
        <f>100*0.953695097503189</f>
        <v>95.3695097503189</v>
      </c>
      <c r="C47" s="689">
        <f>100*0.580301276567193</f>
        <v>58.0301276567193</v>
      </c>
      <c r="D47">
        <v>31</v>
      </c>
      <c r="E47">
        <v>744</v>
      </c>
      <c r="F47">
        <v>590</v>
      </c>
      <c r="G47">
        <v>641</v>
      </c>
    </row>
    <row r="48" spans="1:7">
      <c r="A48" s="245">
        <v>42887</v>
      </c>
      <c r="B48" s="689">
        <f>100*0.931245291902072</f>
        <v>93.1245291902072</v>
      </c>
      <c r="C48" s="689">
        <f>100*0.477769110764431</f>
        <v>47.7769110764431</v>
      </c>
      <c r="D48">
        <v>30</v>
      </c>
      <c r="E48">
        <v>720</v>
      </c>
      <c r="F48">
        <v>590</v>
      </c>
      <c r="G48">
        <v>641</v>
      </c>
    </row>
    <row r="49" spans="1:7">
      <c r="A49" s="245">
        <v>42917</v>
      </c>
      <c r="B49" s="689">
        <f>100*0.981879897940587</f>
        <v>98.1879897940587</v>
      </c>
      <c r="C49" s="689">
        <f>100*0.391093385670911</f>
        <v>39.1093385670911</v>
      </c>
      <c r="D49">
        <v>31</v>
      </c>
      <c r="E49">
        <v>744</v>
      </c>
      <c r="F49">
        <v>590</v>
      </c>
      <c r="G49">
        <v>641</v>
      </c>
    </row>
    <row r="50" spans="1:7">
      <c r="A50" s="245">
        <v>42948</v>
      </c>
      <c r="B50" s="689">
        <f>100*0.964131128121013</f>
        <v>96.4131128121013</v>
      </c>
      <c r="C50" s="689">
        <f>100*0.43368266988744</f>
        <v>43.368266988744</v>
      </c>
      <c r="D50">
        <v>31</v>
      </c>
      <c r="E50">
        <v>744</v>
      </c>
      <c r="F50">
        <v>590</v>
      </c>
      <c r="G50">
        <v>641</v>
      </c>
    </row>
    <row r="51" spans="1:7">
      <c r="A51" s="246">
        <v>42979</v>
      </c>
      <c r="B51" s="762">
        <f>100*0.918166195856874</f>
        <v>91.8166195856874</v>
      </c>
      <c r="C51" s="762">
        <f>100*0.498526607730978</f>
        <v>49.8526607730978</v>
      </c>
      <c r="D51" s="228">
        <v>30</v>
      </c>
      <c r="E51" s="228">
        <v>720</v>
      </c>
      <c r="F51" s="228">
        <v>590</v>
      </c>
      <c r="G51" s="228">
        <v>641</v>
      </c>
    </row>
    <row r="52" spans="2:3">
      <c r="B52" s="761">
        <v>0.943263007928552</v>
      </c>
      <c r="C52" s="761">
        <v>0.471839038468093</v>
      </c>
    </row>
  </sheetData>
  <pageMargins left="0.7" right="0.7" top="0.787401575" bottom="0.787401575" header="0.3" footer="0.3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249977111117893"/>
  </sheetPr>
  <dimension ref="A1:N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31.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439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590</v>
      </c>
      <c r="G3" s="796"/>
      <c r="H3" s="23" t="s">
        <v>187</v>
      </c>
      <c r="I3" s="5" t="s">
        <v>476</v>
      </c>
      <c r="J3" s="35">
        <v>4737838</v>
      </c>
      <c r="K3" s="36" t="s">
        <v>189</v>
      </c>
      <c r="L3" s="1"/>
    </row>
    <row r="4" ht="21.75" customHeight="1" spans="1:13">
      <c r="A4" s="1"/>
      <c r="B4" s="6" t="s">
        <v>190</v>
      </c>
      <c r="C4" s="7"/>
      <c r="D4" s="7"/>
      <c r="E4" s="7"/>
      <c r="F4" s="184">
        <v>565</v>
      </c>
      <c r="G4" s="184"/>
      <c r="H4" s="25" t="s">
        <v>187</v>
      </c>
      <c r="I4" s="7" t="s">
        <v>191</v>
      </c>
      <c r="J4" s="37">
        <v>1833641.34</v>
      </c>
      <c r="K4" s="38" t="s">
        <v>192</v>
      </c>
      <c r="L4" s="1"/>
      <c r="M4" t="s">
        <v>77</v>
      </c>
    </row>
    <row r="5" ht="21.75" customHeight="1" spans="1:12">
      <c r="A5" s="8"/>
      <c r="B5" s="9" t="s">
        <v>193</v>
      </c>
      <c r="C5" s="10"/>
      <c r="D5" s="10"/>
      <c r="E5" s="10"/>
      <c r="F5" s="221"/>
      <c r="G5" s="221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93.6801932816871</v>
      </c>
      <c r="H6" s="27" t="s">
        <v>195</v>
      </c>
      <c r="I6" s="1"/>
      <c r="J6" s="40">
        <v>918364.2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4.27965329591937</v>
      </c>
      <c r="H7" s="27" t="s">
        <v>195</v>
      </c>
      <c r="I7" s="1"/>
      <c r="J7" s="40">
        <v>41954.23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2.04015342239358</v>
      </c>
      <c r="H8" s="27" t="s">
        <v>195</v>
      </c>
      <c r="I8" s="1"/>
      <c r="J8" s="40">
        <v>20000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980318.43</v>
      </c>
      <c r="K9" s="43" t="s">
        <v>196</v>
      </c>
      <c r="L9" s="12"/>
    </row>
    <row r="10" ht="21.75" customHeight="1" spans="1:14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  <c r="N10" t="s">
        <v>77</v>
      </c>
    </row>
    <row r="11" ht="21.75" customHeight="1" spans="1:13">
      <c r="A11" s="1"/>
      <c r="B11" s="11"/>
      <c r="C11" s="1" t="s">
        <v>201</v>
      </c>
      <c r="D11" s="1"/>
      <c r="E11" s="1"/>
      <c r="F11" s="1"/>
      <c r="G11" s="26">
        <v>45.0094713816035</v>
      </c>
      <c r="H11" s="27" t="s">
        <v>195</v>
      </c>
      <c r="I11" s="1"/>
      <c r="J11" s="40">
        <v>301864</v>
      </c>
      <c r="K11" s="41" t="s">
        <v>196</v>
      </c>
      <c r="L11" s="1"/>
      <c r="M11" t="s">
        <v>77</v>
      </c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f>28</f>
        <v>28</v>
      </c>
      <c r="F13" s="15" t="s">
        <v>204</v>
      </c>
      <c r="G13" s="31"/>
      <c r="H13" s="15"/>
      <c r="I13" s="15"/>
      <c r="J13" s="45">
        <v>161000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142</v>
      </c>
      <c r="F15" s="15" t="s">
        <v>204</v>
      </c>
      <c r="G15" s="31"/>
      <c r="H15" s="15"/>
      <c r="I15" s="15"/>
      <c r="J15" s="45">
        <v>140864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5.81510012417028</v>
      </c>
      <c r="H16" s="27" t="s">
        <v>195</v>
      </c>
      <c r="I16" s="1"/>
      <c r="J16" s="40">
        <v>39000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11.9284105111185</v>
      </c>
      <c r="H17" s="27" t="s">
        <v>195</v>
      </c>
      <c r="I17" s="1"/>
      <c r="J17" s="40">
        <v>80000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19.4685362303029</v>
      </c>
      <c r="H18" s="27" t="s">
        <v>195</v>
      </c>
      <c r="I18" s="1"/>
      <c r="J18" s="40">
        <v>131263.64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17.7784817528048</v>
      </c>
      <c r="H19" s="27" t="s">
        <v>195</v>
      </c>
      <c r="I19" s="1"/>
      <c r="J19" s="40">
        <v>119234.54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3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  <c r="M21" t="s">
        <v>77</v>
      </c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62791.96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2000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11107</v>
      </c>
      <c r="K26" s="44" t="s">
        <v>196</v>
      </c>
      <c r="L26" s="15"/>
    </row>
    <row r="27" ht="21.75" customHeight="1" spans="1:13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1000</v>
      </c>
      <c r="K27" s="44" t="s">
        <v>196</v>
      </c>
      <c r="L27" s="15"/>
      <c r="M27" t="s">
        <v>77</v>
      </c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28990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5077.58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8268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671362.18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20.6912610773099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14.1702223672485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6.52103871006143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308956.25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399975585192419"/>
  </sheetPr>
  <dimension ref="B1:O63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4.8365384615385" style="156" customWidth="1"/>
    <col min="3" max="3" width="17.3365384615385" style="156" customWidth="1"/>
    <col min="4" max="4" width="11.3365384615385" style="156" customWidth="1"/>
    <col min="5" max="5" width="11.1634615384615" style="156" customWidth="1"/>
    <col min="6" max="6" width="10" style="156" customWidth="1"/>
    <col min="7" max="7" width="4.5" style="156" customWidth="1"/>
    <col min="8" max="8" width="16.1634615384615" style="156" customWidth="1"/>
    <col min="9" max="9" width="11.8365384615385" style="156" customWidth="1"/>
    <col min="10" max="10" width="17.3365384615385" style="156" customWidth="1"/>
    <col min="11" max="11" width="11.5" style="156"/>
    <col min="12" max="12" width="14" style="156" customWidth="1"/>
    <col min="13" max="15" width="11.5" style="156"/>
    <col min="16" max="16" width="31.8365384615385" style="156" customWidth="1"/>
    <col min="17" max="16384" width="11.5" style="156"/>
  </cols>
  <sheetData>
    <row r="1" ht="21.75" customHeight="1" spans="2:14">
      <c r="B1"/>
      <c r="C1"/>
      <c r="D1"/>
      <c r="E1"/>
      <c r="F1"/>
      <c r="G1"/>
      <c r="H1"/>
      <c r="I1"/>
      <c r="J1"/>
      <c r="K1"/>
      <c r="L1"/>
      <c r="M1" s="175"/>
      <c r="N1" s="175"/>
    </row>
    <row r="2" ht="25.5" customHeight="1" spans="2:12">
      <c r="B2" s="49" t="s">
        <v>477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5" customHeight="1" spans="2:12">
      <c r="B3" s="731" t="s">
        <v>1</v>
      </c>
      <c r="C3" s="787"/>
      <c r="D3" s="787"/>
      <c r="E3" s="787"/>
      <c r="F3" s="787"/>
      <c r="G3" s="787"/>
      <c r="H3" s="787"/>
      <c r="I3" s="787"/>
      <c r="J3" s="787"/>
      <c r="K3" s="787"/>
      <c r="L3" s="791"/>
    </row>
    <row r="4" ht="15" customHeight="1" spans="2:12">
      <c r="B4" s="54" t="s">
        <v>2</v>
      </c>
      <c r="C4" s="213" t="s">
        <v>478</v>
      </c>
      <c r="D4" s="95"/>
      <c r="E4" s="95"/>
      <c r="F4" s="96"/>
      <c r="G4" s="96"/>
      <c r="H4" s="56"/>
      <c r="I4" s="56"/>
      <c r="J4" s="56"/>
      <c r="K4" s="56"/>
      <c r="L4" s="118"/>
    </row>
    <row r="5" ht="15" customHeight="1" spans="2:12">
      <c r="B5" s="54" t="s">
        <v>4</v>
      </c>
      <c r="C5" s="881" t="s">
        <v>479</v>
      </c>
      <c r="D5" s="95"/>
      <c r="E5" s="95"/>
      <c r="F5" s="96"/>
      <c r="G5" s="96"/>
      <c r="H5" s="56"/>
      <c r="I5" s="56"/>
      <c r="J5" s="56"/>
      <c r="K5" s="56"/>
      <c r="L5" s="118"/>
    </row>
    <row r="6" ht="15" customHeight="1" spans="2:12">
      <c r="B6" s="57" t="s">
        <v>6</v>
      </c>
      <c r="C6" s="56" t="s">
        <v>368</v>
      </c>
      <c r="D6" s="95"/>
      <c r="E6" s="56"/>
      <c r="F6" s="56"/>
      <c r="G6" s="56"/>
      <c r="H6" s="56"/>
      <c r="I6" s="56"/>
      <c r="J6" s="56"/>
      <c r="K6" s="56"/>
      <c r="L6" s="118"/>
    </row>
    <row r="7" ht="15" customHeight="1" spans="2:12">
      <c r="B7" s="54" t="s">
        <v>230</v>
      </c>
      <c r="C7" s="213" t="s">
        <v>369</v>
      </c>
      <c r="D7" s="95"/>
      <c r="E7" s="56"/>
      <c r="F7" s="56"/>
      <c r="G7" s="56"/>
      <c r="H7" s="56"/>
      <c r="I7" s="56"/>
      <c r="J7" s="56"/>
      <c r="K7" s="56"/>
      <c r="L7" s="118"/>
    </row>
    <row r="8" ht="15" customHeight="1" spans="2:12">
      <c r="B8" s="54" t="s">
        <v>231</v>
      </c>
      <c r="C8" s="213" t="s">
        <v>11</v>
      </c>
      <c r="D8" s="95"/>
      <c r="E8" s="56"/>
      <c r="F8" s="56"/>
      <c r="G8" s="56"/>
      <c r="H8" s="56"/>
      <c r="I8" s="56"/>
      <c r="J8" s="56"/>
      <c r="K8" s="56"/>
      <c r="L8" s="118"/>
    </row>
    <row r="9" ht="15" customHeight="1" spans="2:12"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8"/>
    </row>
    <row r="10" ht="15" customHeight="1" spans="2:12">
      <c r="B10" s="60" t="s">
        <v>232</v>
      </c>
      <c r="C10" s="56" t="s">
        <v>480</v>
      </c>
      <c r="D10" s="95"/>
      <c r="E10" s="56"/>
      <c r="F10" s="56"/>
      <c r="G10" s="56"/>
      <c r="H10" s="56"/>
      <c r="I10" s="56"/>
      <c r="J10" s="56"/>
      <c r="K10" s="56"/>
      <c r="L10" s="118"/>
    </row>
    <row r="11" ht="7" customHeight="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748"/>
    </row>
    <row r="12" ht="15" customHeight="1" spans="2:12">
      <c r="B12" s="728" t="s">
        <v>19</v>
      </c>
      <c r="C12" s="56"/>
      <c r="D12" s="534"/>
      <c r="E12" s="534"/>
      <c r="F12" s="534"/>
      <c r="G12" s="534"/>
      <c r="H12" s="736"/>
      <c r="I12" s="116" t="s">
        <v>20</v>
      </c>
      <c r="J12" s="56"/>
      <c r="K12" s="56"/>
      <c r="L12" s="118"/>
    </row>
    <row r="13" ht="15" customHeight="1" spans="2:12">
      <c r="B13" s="57" t="s">
        <v>233</v>
      </c>
      <c r="C13" s="56"/>
      <c r="D13" s="229" t="s">
        <v>283</v>
      </c>
      <c r="E13" s="229" t="s">
        <v>22</v>
      </c>
      <c r="F13" s="229" t="s">
        <v>23</v>
      </c>
      <c r="G13" s="789"/>
      <c r="H13" s="790" t="s">
        <v>24</v>
      </c>
      <c r="I13" s="56"/>
      <c r="J13" s="56"/>
      <c r="K13" s="56" t="s">
        <v>25</v>
      </c>
      <c r="L13" s="118"/>
    </row>
    <row r="14" ht="15" customHeight="1" spans="2:12">
      <c r="B14" s="57" t="s">
        <v>26</v>
      </c>
      <c r="C14" s="56"/>
      <c r="D14" s="70">
        <v>1</v>
      </c>
      <c r="E14" s="70">
        <v>1</v>
      </c>
      <c r="F14" s="70">
        <v>1</v>
      </c>
      <c r="G14" s="56"/>
      <c r="H14" s="56"/>
      <c r="I14" s="57" t="s">
        <v>248</v>
      </c>
      <c r="J14" s="56"/>
      <c r="K14" s="741">
        <v>28847</v>
      </c>
      <c r="L14" s="118" t="s">
        <v>28</v>
      </c>
    </row>
    <row r="15" ht="15" customHeight="1" spans="2:12">
      <c r="B15" s="57" t="s">
        <v>54</v>
      </c>
      <c r="C15" s="56" t="s">
        <v>55</v>
      </c>
      <c r="D15" s="71">
        <v>650</v>
      </c>
      <c r="E15" s="71">
        <v>2000</v>
      </c>
      <c r="F15" s="71">
        <v>3062</v>
      </c>
      <c r="G15" s="71"/>
      <c r="H15" s="587">
        <f>SUM(D15:G15)</f>
        <v>5712</v>
      </c>
      <c r="I15" s="57" t="s">
        <v>249</v>
      </c>
      <c r="J15" s="56"/>
      <c r="K15" s="535">
        <v>79</v>
      </c>
      <c r="L15" s="118" t="s">
        <v>56</v>
      </c>
    </row>
    <row r="16" ht="15" customHeight="1" spans="2:12">
      <c r="B16" s="57" t="s">
        <v>234</v>
      </c>
      <c r="C16" s="56" t="s">
        <v>55</v>
      </c>
      <c r="D16" s="71">
        <v>628</v>
      </c>
      <c r="E16" s="71">
        <v>1982</v>
      </c>
      <c r="F16" s="71">
        <v>3062</v>
      </c>
      <c r="G16" s="71"/>
      <c r="H16" s="587">
        <f>SUM(D16:G16)</f>
        <v>5672</v>
      </c>
      <c r="I16" s="56" t="s">
        <v>155</v>
      </c>
      <c r="J16" s="56"/>
      <c r="K16" s="163">
        <v>70.72</v>
      </c>
      <c r="L16" s="118" t="s">
        <v>59</v>
      </c>
    </row>
    <row r="17" ht="15" customHeight="1" spans="2:12"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/>
      <c r="H17" s="587"/>
      <c r="I17" s="56" t="s">
        <v>371</v>
      </c>
      <c r="J17" s="56"/>
      <c r="K17" s="164">
        <v>13.54</v>
      </c>
      <c r="L17" s="118" t="s">
        <v>59</v>
      </c>
    </row>
    <row r="18" ht="15" customHeight="1" spans="2:12">
      <c r="B18" s="57" t="s">
        <v>66</v>
      </c>
      <c r="C18" s="56" t="s">
        <v>55</v>
      </c>
      <c r="D18" s="71">
        <v>0</v>
      </c>
      <c r="E18" s="71">
        <v>0</v>
      </c>
      <c r="F18" s="71">
        <v>1200</v>
      </c>
      <c r="G18" s="71"/>
      <c r="H18" s="587">
        <f>SUM(D18:G18)</f>
        <v>1200</v>
      </c>
      <c r="I18" s="56" t="s">
        <v>157</v>
      </c>
      <c r="J18" s="56"/>
      <c r="K18" s="164">
        <v>6.55</v>
      </c>
      <c r="L18" s="118" t="s">
        <v>59</v>
      </c>
    </row>
    <row r="19" ht="15" customHeight="1" spans="2:12">
      <c r="B19" s="57"/>
      <c r="C19" s="56"/>
      <c r="D19" s="70"/>
      <c r="E19" s="70"/>
      <c r="F19" s="70"/>
      <c r="G19" s="70"/>
      <c r="H19" s="100"/>
      <c r="I19" s="56" t="s">
        <v>155</v>
      </c>
      <c r="J19" s="56"/>
      <c r="K19" s="164">
        <v>4.78</v>
      </c>
      <c r="L19" s="118" t="s">
        <v>59</v>
      </c>
    </row>
    <row r="20" ht="15" customHeight="1" spans="2:12">
      <c r="B20" s="72" t="s">
        <v>69</v>
      </c>
      <c r="C20" s="73"/>
      <c r="D20" s="74"/>
      <c r="E20" s="74"/>
      <c r="F20" s="74"/>
      <c r="G20" s="74"/>
      <c r="H20" s="101"/>
      <c r="I20" s="56" t="s">
        <v>372</v>
      </c>
      <c r="J20" s="56"/>
      <c r="K20" s="164">
        <v>1.56</v>
      </c>
      <c r="L20" s="118" t="s">
        <v>59</v>
      </c>
    </row>
    <row r="21" ht="15" customHeight="1" spans="2:12">
      <c r="B21" s="57" t="s">
        <v>71</v>
      </c>
      <c r="C21" s="56" t="s">
        <v>59</v>
      </c>
      <c r="D21" s="70"/>
      <c r="E21" s="299">
        <v>6.61</v>
      </c>
      <c r="F21" s="70"/>
      <c r="G21" s="70"/>
      <c r="H21" s="100"/>
      <c r="I21" s="56" t="s">
        <v>481</v>
      </c>
      <c r="J21" s="56"/>
      <c r="K21" s="164">
        <v>1.54</v>
      </c>
      <c r="L21" s="118" t="s">
        <v>59</v>
      </c>
    </row>
    <row r="22" ht="15" customHeight="1" spans="2:12">
      <c r="B22" s="57" t="s">
        <v>73</v>
      </c>
      <c r="C22" s="56" t="s">
        <v>59</v>
      </c>
      <c r="D22" s="70"/>
      <c r="E22" s="299">
        <v>76.2788390574977</v>
      </c>
      <c r="F22" s="70"/>
      <c r="G22" s="70" t="s">
        <v>77</v>
      </c>
      <c r="H22" s="70"/>
      <c r="I22" s="57" t="s">
        <v>68</v>
      </c>
      <c r="J22" s="56"/>
      <c r="K22" s="164">
        <v>1.28</v>
      </c>
      <c r="L22" s="118" t="s">
        <v>59</v>
      </c>
    </row>
    <row r="23" ht="15" customHeight="1" spans="2:12">
      <c r="B23" s="57" t="s">
        <v>74</v>
      </c>
      <c r="C23" s="76" t="s">
        <v>75</v>
      </c>
      <c r="D23" s="301"/>
      <c r="E23" s="70"/>
      <c r="F23" s="70"/>
      <c r="G23" s="70"/>
      <c r="H23" s="103" t="s">
        <v>482</v>
      </c>
      <c r="I23" s="125" t="s">
        <v>76</v>
      </c>
      <c r="J23" s="56"/>
      <c r="K23" s="163"/>
      <c r="L23" s="118"/>
    </row>
    <row r="24" ht="15" customHeight="1" spans="2:12">
      <c r="B24" s="57" t="s">
        <v>78</v>
      </c>
      <c r="C24" s="56" t="s">
        <v>79</v>
      </c>
      <c r="D24" s="293"/>
      <c r="E24" s="293"/>
      <c r="F24" s="70" t="s">
        <v>77</v>
      </c>
      <c r="G24" s="70"/>
      <c r="H24" s="104" t="s">
        <v>311</v>
      </c>
      <c r="I24" s="127" t="s">
        <v>80</v>
      </c>
      <c r="J24" s="56"/>
      <c r="K24" s="163">
        <v>17.55</v>
      </c>
      <c r="L24" s="118" t="s">
        <v>59</v>
      </c>
    </row>
    <row r="25" ht="15" customHeight="1" spans="2:13">
      <c r="B25" s="57" t="s">
        <v>448</v>
      </c>
      <c r="C25" s="56" t="s">
        <v>59</v>
      </c>
      <c r="D25" s="70"/>
      <c r="E25" s="70"/>
      <c r="F25" s="70"/>
      <c r="G25" s="70"/>
      <c r="H25" s="174" t="s">
        <v>483</v>
      </c>
      <c r="I25" s="128" t="s">
        <v>83</v>
      </c>
      <c r="J25" s="56"/>
      <c r="K25" s="163">
        <v>89.5</v>
      </c>
      <c r="L25" s="118" t="s">
        <v>59</v>
      </c>
      <c r="M25" s="179"/>
    </row>
    <row r="26" ht="15" customHeight="1" spans="2:13">
      <c r="B26" s="57" t="s">
        <v>84</v>
      </c>
      <c r="C26" s="56" t="s">
        <v>59</v>
      </c>
      <c r="D26" s="70"/>
      <c r="E26" s="70"/>
      <c r="F26" s="70"/>
      <c r="G26" s="70"/>
      <c r="H26" s="102" t="s">
        <v>297</v>
      </c>
      <c r="I26" s="57" t="s">
        <v>86</v>
      </c>
      <c r="J26" s="56"/>
      <c r="K26" s="163">
        <v>62.43</v>
      </c>
      <c r="L26" s="118" t="s">
        <v>59</v>
      </c>
      <c r="M26" s="179"/>
    </row>
    <row r="27" ht="15" customHeight="1" spans="2:13">
      <c r="B27" s="57" t="s">
        <v>87</v>
      </c>
      <c r="C27" s="56" t="s">
        <v>88</v>
      </c>
      <c r="D27" s="70"/>
      <c r="E27" s="70"/>
      <c r="F27" s="70"/>
      <c r="G27" s="70"/>
      <c r="H27" s="103" t="s">
        <v>298</v>
      </c>
      <c r="I27" s="129"/>
      <c r="J27" s="130"/>
      <c r="K27" s="166"/>
      <c r="L27" s="167"/>
      <c r="M27" s="179"/>
    </row>
    <row r="28" ht="15" customHeight="1" spans="2:13">
      <c r="B28" s="57" t="s">
        <v>90</v>
      </c>
      <c r="C28" s="56" t="s">
        <v>91</v>
      </c>
      <c r="D28" s="70"/>
      <c r="E28" s="70"/>
      <c r="F28" s="70" t="s">
        <v>77</v>
      </c>
      <c r="G28" s="70"/>
      <c r="H28" s="103" t="s">
        <v>299</v>
      </c>
      <c r="I28" s="728" t="s">
        <v>93</v>
      </c>
      <c r="J28" s="740"/>
      <c r="K28" s="535"/>
      <c r="L28" s="118"/>
      <c r="M28" s="179"/>
    </row>
    <row r="29" ht="15" customHeight="1" spans="2:13">
      <c r="B29" s="57" t="s">
        <v>32</v>
      </c>
      <c r="C29" s="56" t="s">
        <v>62</v>
      </c>
      <c r="D29" s="56"/>
      <c r="E29" s="299">
        <v>7.8125</v>
      </c>
      <c r="F29" s="70"/>
      <c r="G29" s="70"/>
      <c r="H29" s="70"/>
      <c r="I29" s="57" t="s">
        <v>26</v>
      </c>
      <c r="J29" s="56"/>
      <c r="K29" s="535">
        <v>4</v>
      </c>
      <c r="L29" s="118"/>
      <c r="M29" s="541"/>
    </row>
    <row r="30" ht="15" customHeight="1" spans="2:13">
      <c r="B30" s="57" t="s">
        <v>94</v>
      </c>
      <c r="C30" s="56" t="s">
        <v>95</v>
      </c>
      <c r="D30" s="293">
        <v>30</v>
      </c>
      <c r="E30" s="293">
        <v>38</v>
      </c>
      <c r="F30" s="70"/>
      <c r="G30" s="70"/>
      <c r="H30" s="70"/>
      <c r="I30" s="57" t="s">
        <v>96</v>
      </c>
      <c r="J30" s="589"/>
      <c r="K30" s="741">
        <v>0</v>
      </c>
      <c r="L30" s="118" t="s">
        <v>55</v>
      </c>
      <c r="M30" s="541"/>
    </row>
    <row r="31" ht="15" customHeight="1" spans="2:13">
      <c r="B31" s="57" t="s">
        <v>484</v>
      </c>
      <c r="C31" s="56" t="s">
        <v>98</v>
      </c>
      <c r="D31" s="56"/>
      <c r="E31" s="299">
        <v>1.9</v>
      </c>
      <c r="F31" s="70"/>
      <c r="G31" s="70"/>
      <c r="H31" s="70"/>
      <c r="I31" s="57" t="s">
        <v>99</v>
      </c>
      <c r="J31" s="589"/>
      <c r="K31" s="741">
        <f>2800+3000+5200+5000</f>
        <v>16000</v>
      </c>
      <c r="L31" s="118" t="s">
        <v>55</v>
      </c>
      <c r="M31" s="541"/>
    </row>
    <row r="32" ht="15" customHeight="1" spans="2:13">
      <c r="B32" s="57" t="s">
        <v>485</v>
      </c>
      <c r="C32" s="56" t="s">
        <v>98</v>
      </c>
      <c r="D32" s="56"/>
      <c r="E32" s="299">
        <v>4.17916666666667</v>
      </c>
      <c r="F32" s="70"/>
      <c r="G32" s="70"/>
      <c r="H32" s="70"/>
      <c r="I32" s="57" t="s">
        <v>103</v>
      </c>
      <c r="J32" s="56"/>
      <c r="K32" s="163">
        <v>9.9</v>
      </c>
      <c r="L32" s="118" t="s">
        <v>59</v>
      </c>
      <c r="M32" s="541"/>
    </row>
    <row r="33" ht="15" customHeight="1" spans="2:15">
      <c r="B33" s="57" t="s">
        <v>101</v>
      </c>
      <c r="C33" s="56" t="s">
        <v>102</v>
      </c>
      <c r="D33" s="70"/>
      <c r="E33" s="293">
        <v>85</v>
      </c>
      <c r="F33" s="70"/>
      <c r="G33" s="70"/>
      <c r="H33" s="70" t="s">
        <v>77</v>
      </c>
      <c r="I33" s="57" t="s">
        <v>105</v>
      </c>
      <c r="J33" s="56"/>
      <c r="K33" s="535">
        <v>6.19</v>
      </c>
      <c r="L33" s="118" t="s">
        <v>59</v>
      </c>
      <c r="M33" s="207" t="s">
        <v>486</v>
      </c>
      <c r="N33" s="208"/>
      <c r="O33" s="209"/>
    </row>
    <row r="34" ht="15" customHeight="1" spans="2:15">
      <c r="B34" s="57" t="s">
        <v>104</v>
      </c>
      <c r="C34" s="56" t="s">
        <v>62</v>
      </c>
      <c r="D34" s="56"/>
      <c r="E34" s="301">
        <v>0.11102885247826</v>
      </c>
      <c r="F34" s="70"/>
      <c r="G34" s="70"/>
      <c r="H34" s="70"/>
      <c r="I34" s="57" t="s">
        <v>106</v>
      </c>
      <c r="J34" s="56"/>
      <c r="K34" s="535">
        <v>73.9</v>
      </c>
      <c r="L34" s="118" t="s">
        <v>59</v>
      </c>
      <c r="M34" s="210"/>
      <c r="N34" s="156">
        <v>195.84</v>
      </c>
      <c r="O34" s="211" t="s">
        <v>487</v>
      </c>
    </row>
    <row r="35" ht="15" customHeight="1" spans="2:15">
      <c r="B35" s="730"/>
      <c r="C35" s="56"/>
      <c r="D35" s="56"/>
      <c r="E35" s="301"/>
      <c r="F35" s="70"/>
      <c r="G35" s="70"/>
      <c r="H35" s="70"/>
      <c r="I35" s="129"/>
      <c r="J35" s="70"/>
      <c r="K35" s="70"/>
      <c r="L35" s="167"/>
      <c r="M35" s="210" t="s">
        <v>488</v>
      </c>
      <c r="N35" s="156">
        <v>75.18</v>
      </c>
      <c r="O35" s="211" t="s">
        <v>489</v>
      </c>
    </row>
    <row r="36" ht="15" customHeight="1" spans="2:15">
      <c r="B36" s="731" t="s">
        <v>107</v>
      </c>
      <c r="C36" s="73"/>
      <c r="D36" s="74"/>
      <c r="E36" s="74"/>
      <c r="F36" s="74"/>
      <c r="G36" s="74"/>
      <c r="H36" s="101"/>
      <c r="I36" s="742" t="s">
        <v>108</v>
      </c>
      <c r="J36" s="73"/>
      <c r="K36" s="73"/>
      <c r="L36" s="743"/>
      <c r="M36" s="793" t="s">
        <v>490</v>
      </c>
      <c r="N36" s="794">
        <v>6.07</v>
      </c>
      <c r="O36" s="795" t="s">
        <v>491</v>
      </c>
    </row>
    <row r="37" ht="15" customHeight="1" spans="2:13">
      <c r="B37" s="732"/>
      <c r="C37" s="70"/>
      <c r="D37" s="70"/>
      <c r="E37" s="56"/>
      <c r="F37" s="70"/>
      <c r="G37" s="70"/>
      <c r="H37" s="100"/>
      <c r="I37" s="57"/>
      <c r="J37" s="56" t="s">
        <v>109</v>
      </c>
      <c r="K37" s="70" t="s">
        <v>110</v>
      </c>
      <c r="L37" s="100"/>
      <c r="M37" s="542"/>
    </row>
    <row r="38" ht="15" customHeight="1" spans="2:13">
      <c r="B38" s="85" t="s">
        <v>111</v>
      </c>
      <c r="C38" s="56" t="s">
        <v>59</v>
      </c>
      <c r="D38" s="70">
        <v>42</v>
      </c>
      <c r="E38" s="56"/>
      <c r="F38" s="70"/>
      <c r="G38" s="70"/>
      <c r="H38" s="100"/>
      <c r="I38" s="125" t="s">
        <v>112</v>
      </c>
      <c r="J38" s="56"/>
      <c r="K38" s="70"/>
      <c r="L38" s="100"/>
      <c r="M38" s="541"/>
    </row>
    <row r="39" ht="15" customHeight="1" spans="2:13">
      <c r="B39" s="732"/>
      <c r="C39" s="70"/>
      <c r="D39" s="70"/>
      <c r="E39" s="56"/>
      <c r="F39" s="70"/>
      <c r="G39" s="70"/>
      <c r="H39" s="100"/>
      <c r="I39" s="57"/>
      <c r="J39" s="56" t="s">
        <v>113</v>
      </c>
      <c r="K39" s="744" t="s">
        <v>492</v>
      </c>
      <c r="L39" s="173">
        <v>57.4787878787879</v>
      </c>
      <c r="M39" s="541"/>
    </row>
    <row r="40" ht="15" customHeight="1" spans="2:13">
      <c r="B40" s="733"/>
      <c r="C40" s="293"/>
      <c r="D40" s="229" t="s">
        <v>419</v>
      </c>
      <c r="E40" s="229"/>
      <c r="F40" s="229"/>
      <c r="G40" s="229"/>
      <c r="H40" s="229"/>
      <c r="I40" s="57"/>
      <c r="J40" s="56" t="s">
        <v>113</v>
      </c>
      <c r="K40" s="70" t="s">
        <v>493</v>
      </c>
      <c r="L40" s="173">
        <v>39.2418732782369</v>
      </c>
      <c r="M40" s="541"/>
    </row>
    <row r="41" ht="15" customHeight="1" spans="2:13">
      <c r="B41" s="57" t="s">
        <v>118</v>
      </c>
      <c r="C41" s="56"/>
      <c r="D41" s="70" t="s">
        <v>119</v>
      </c>
      <c r="E41" s="70"/>
      <c r="F41" s="70"/>
      <c r="G41" s="70"/>
      <c r="H41" s="100"/>
      <c r="I41" s="57"/>
      <c r="J41" s="56" t="s">
        <v>113</v>
      </c>
      <c r="K41" s="70" t="s">
        <v>494</v>
      </c>
      <c r="L41" s="882" t="s">
        <v>117</v>
      </c>
      <c r="M41" s="541"/>
    </row>
    <row r="42" ht="15" customHeight="1" spans="2:13">
      <c r="B42" s="57" t="s">
        <v>121</v>
      </c>
      <c r="C42" s="56" t="s">
        <v>122</v>
      </c>
      <c r="D42" s="293">
        <v>549</v>
      </c>
      <c r="E42" s="293"/>
      <c r="F42" s="293"/>
      <c r="G42" s="70"/>
      <c r="H42" s="100"/>
      <c r="I42" s="57"/>
      <c r="J42" s="56" t="s">
        <v>123</v>
      </c>
      <c r="K42" s="744" t="s">
        <v>495</v>
      </c>
      <c r="L42" s="188">
        <v>826.892351274788</v>
      </c>
      <c r="M42" s="541"/>
    </row>
    <row r="43" ht="15" customHeight="1" spans="2:13">
      <c r="B43" s="57" t="s">
        <v>125</v>
      </c>
      <c r="C43" s="56" t="s">
        <v>122</v>
      </c>
      <c r="D43" s="293">
        <v>537</v>
      </c>
      <c r="E43" s="293" t="s">
        <v>77</v>
      </c>
      <c r="F43" s="293"/>
      <c r="G43" s="70"/>
      <c r="H43" s="100"/>
      <c r="I43" s="125" t="s">
        <v>126</v>
      </c>
      <c r="J43" s="56"/>
      <c r="K43" s="70"/>
      <c r="L43" s="100"/>
      <c r="M43" s="541"/>
    </row>
    <row r="44" ht="15" customHeight="1" spans="2:13">
      <c r="B44" s="57" t="s">
        <v>127</v>
      </c>
      <c r="C44" s="56" t="s">
        <v>59</v>
      </c>
      <c r="D44" s="70">
        <v>40.7</v>
      </c>
      <c r="E44" s="70"/>
      <c r="F44" s="70"/>
      <c r="G44" s="70"/>
      <c r="H44" s="100"/>
      <c r="I44" s="56"/>
      <c r="J44" s="56"/>
      <c r="K44" s="70" t="s">
        <v>128</v>
      </c>
      <c r="L44" s="100" t="s">
        <v>129</v>
      </c>
      <c r="M44" s="541"/>
    </row>
    <row r="45" ht="15" customHeight="1" spans="2:13">
      <c r="B45" s="57" t="s">
        <v>130</v>
      </c>
      <c r="C45" s="56" t="s">
        <v>59</v>
      </c>
      <c r="D45" s="70">
        <v>39.7</v>
      </c>
      <c r="E45" s="70"/>
      <c r="F45" s="70"/>
      <c r="G45" s="70"/>
      <c r="H45" s="100"/>
      <c r="I45" s="57"/>
      <c r="J45" s="56" t="s">
        <v>131</v>
      </c>
      <c r="K45" s="293">
        <v>75.021004742128</v>
      </c>
      <c r="L45" s="188">
        <v>43.1211641802632</v>
      </c>
      <c r="M45" s="541"/>
    </row>
    <row r="46" ht="15" customHeight="1" spans="2:13">
      <c r="B46" s="57" t="s">
        <v>132</v>
      </c>
      <c r="C46" s="56" t="s">
        <v>62</v>
      </c>
      <c r="D46" s="70" t="s">
        <v>133</v>
      </c>
      <c r="E46" s="56"/>
      <c r="F46" s="70"/>
      <c r="G46" s="70"/>
      <c r="H46" s="100"/>
      <c r="I46" s="57"/>
      <c r="J46" s="56" t="s">
        <v>134</v>
      </c>
      <c r="K46" s="293">
        <v>477.620237419841</v>
      </c>
      <c r="L46" s="188">
        <v>274.530323132714</v>
      </c>
      <c r="M46" s="541"/>
    </row>
    <row r="47" ht="15" customHeight="1" spans="2:13">
      <c r="B47" s="57" t="s">
        <v>135</v>
      </c>
      <c r="C47" s="56" t="s">
        <v>240</v>
      </c>
      <c r="D47" s="883" t="s">
        <v>117</v>
      </c>
      <c r="E47" s="70"/>
      <c r="F47" s="70"/>
      <c r="G47" s="70" t="s">
        <v>77</v>
      </c>
      <c r="H47" s="100"/>
      <c r="I47" s="125" t="s">
        <v>137</v>
      </c>
      <c r="J47" s="56"/>
      <c r="K47" s="70"/>
      <c r="L47" s="100"/>
      <c r="M47" s="541"/>
    </row>
    <row r="48" ht="15" customHeight="1" spans="2:13">
      <c r="B48" s="57" t="s">
        <v>138</v>
      </c>
      <c r="C48" s="56" t="s">
        <v>240</v>
      </c>
      <c r="D48" s="71">
        <v>8485.71256830601</v>
      </c>
      <c r="E48" s="70"/>
      <c r="F48" s="70"/>
      <c r="G48" s="71"/>
      <c r="H48" s="587"/>
      <c r="I48" s="57"/>
      <c r="J48" s="56" t="s">
        <v>139</v>
      </c>
      <c r="K48" s="71">
        <v>12763.4416438356</v>
      </c>
      <c r="L48" s="587"/>
      <c r="M48" s="541"/>
    </row>
    <row r="49" ht="15" customHeight="1" spans="2:13">
      <c r="B49" s="57" t="s">
        <v>140</v>
      </c>
      <c r="C49" s="56" t="s">
        <v>59</v>
      </c>
      <c r="D49" s="71">
        <v>96.8824236124518</v>
      </c>
      <c r="E49" s="70"/>
      <c r="F49" s="70"/>
      <c r="G49" s="70"/>
      <c r="H49" s="100"/>
      <c r="I49" s="57"/>
      <c r="J49" s="56" t="s">
        <v>141</v>
      </c>
      <c r="K49" s="71">
        <v>161.494224742783</v>
      </c>
      <c r="L49" s="100"/>
      <c r="M49" s="541"/>
    </row>
    <row r="50" ht="15" customHeight="1" spans="2:13">
      <c r="B50" s="57"/>
      <c r="C50" s="56"/>
      <c r="D50" s="70"/>
      <c r="E50" s="70"/>
      <c r="F50" s="70"/>
      <c r="G50" s="70"/>
      <c r="H50" s="100"/>
      <c r="I50" s="534"/>
      <c r="J50" s="56"/>
      <c r="K50" s="70"/>
      <c r="L50" s="100"/>
      <c r="M50" s="541"/>
    </row>
    <row r="51" ht="15" customHeight="1" spans="2:13">
      <c r="B51" s="88" t="s">
        <v>142</v>
      </c>
      <c r="C51" s="62"/>
      <c r="D51" s="130"/>
      <c r="E51" s="130"/>
      <c r="F51" s="130"/>
      <c r="G51" s="130"/>
      <c r="H51" s="167"/>
      <c r="I51" s="57"/>
      <c r="J51" s="56"/>
      <c r="K51" s="70"/>
      <c r="L51" s="100"/>
      <c r="M51" s="179"/>
    </row>
    <row r="52" ht="15" customHeight="1" spans="2:13">
      <c r="B52" s="90" t="s">
        <v>143</v>
      </c>
      <c r="C52" s="78"/>
      <c r="D52" s="64"/>
      <c r="E52" s="64"/>
      <c r="F52" s="64"/>
      <c r="G52" s="110" t="s">
        <v>144</v>
      </c>
      <c r="H52" s="64"/>
      <c r="I52" s="83"/>
      <c r="J52" s="140"/>
      <c r="K52" s="140"/>
      <c r="L52" s="152"/>
      <c r="M52" s="179"/>
    </row>
    <row r="53" ht="15" customHeight="1" spans="2:13">
      <c r="B53" s="66"/>
      <c r="C53" s="91" t="s">
        <v>145</v>
      </c>
      <c r="D53" s="92"/>
      <c r="E53" s="92"/>
      <c r="F53" s="64"/>
      <c r="G53" s="64"/>
      <c r="H53" s="64"/>
      <c r="I53" s="78" t="s">
        <v>145</v>
      </c>
      <c r="J53" s="64"/>
      <c r="K53" s="64"/>
      <c r="L53" s="114"/>
      <c r="M53" s="179"/>
    </row>
    <row r="54" ht="15" customHeight="1" spans="2:12">
      <c r="B54" s="66" t="s">
        <v>146</v>
      </c>
      <c r="C54" s="93">
        <v>293151</v>
      </c>
      <c r="D54" s="161">
        <v>6.2926085852826</v>
      </c>
      <c r="E54" s="111" t="s">
        <v>147</v>
      </c>
      <c r="F54" s="64"/>
      <c r="G54" s="64" t="s">
        <v>148</v>
      </c>
      <c r="H54" s="64"/>
      <c r="I54" s="69">
        <v>639500</v>
      </c>
      <c r="J54" s="161">
        <v>14.033886054809</v>
      </c>
      <c r="K54" s="111" t="s">
        <v>149</v>
      </c>
      <c r="L54" s="114"/>
    </row>
    <row r="55" ht="15" customHeight="1" spans="2:12">
      <c r="B55" s="66" t="s">
        <v>430</v>
      </c>
      <c r="C55" s="93">
        <v>176699</v>
      </c>
      <c r="D55" s="161">
        <v>3.79291779462069</v>
      </c>
      <c r="E55" s="111" t="s">
        <v>147</v>
      </c>
      <c r="F55" s="64"/>
      <c r="G55" s="64" t="s">
        <v>274</v>
      </c>
      <c r="H55" s="64"/>
      <c r="I55" s="69">
        <v>885710</v>
      </c>
      <c r="J55" s="161">
        <v>19.4369870486394</v>
      </c>
      <c r="K55" s="111" t="s">
        <v>149</v>
      </c>
      <c r="L55" s="114"/>
    </row>
    <row r="56" ht="15" customHeight="1" spans="2:12">
      <c r="B56" s="66" t="s">
        <v>431</v>
      </c>
      <c r="C56" s="93">
        <v>116452</v>
      </c>
      <c r="D56" s="161">
        <v>2.49969079066191</v>
      </c>
      <c r="E56" s="111" t="s">
        <v>147</v>
      </c>
      <c r="F56" s="64"/>
      <c r="G56" s="64"/>
      <c r="H56" s="64"/>
      <c r="I56" s="69"/>
      <c r="J56" s="792"/>
      <c r="K56" s="111"/>
      <c r="L56" s="114"/>
    </row>
    <row r="57" ht="15" customHeight="1" spans="2:12">
      <c r="B57" s="81"/>
      <c r="C57" s="94"/>
      <c r="D57" s="94"/>
      <c r="E57" s="94"/>
      <c r="F57" s="94"/>
      <c r="G57" s="94"/>
      <c r="H57" s="94"/>
      <c r="I57" s="89"/>
      <c r="J57" s="304"/>
      <c r="K57" s="153"/>
      <c r="L57" s="115"/>
    </row>
    <row r="58" ht="15" customHeight="1" spans="2:12">
      <c r="B58"/>
      <c r="C58"/>
      <c r="D58"/>
      <c r="E58"/>
      <c r="F58"/>
      <c r="G58"/>
      <c r="H58"/>
      <c r="I58"/>
      <c r="J58"/>
      <c r="K58"/>
      <c r="L58"/>
    </row>
    <row r="59" ht="15" customHeight="1" spans="2:12">
      <c r="B59"/>
      <c r="C59"/>
      <c r="D59"/>
      <c r="E59"/>
      <c r="F59"/>
      <c r="G59"/>
      <c r="H59"/>
      <c r="I59"/>
      <c r="J59"/>
      <c r="K59"/>
      <c r="L59"/>
    </row>
    <row r="60" spans="7:7">
      <c r="G60" s="156" t="s">
        <v>77</v>
      </c>
    </row>
    <row r="62" ht="16.8" spans="7:8">
      <c r="G62"/>
      <c r="H62"/>
    </row>
    <row r="63" ht="16.8" spans="7:8">
      <c r="G63"/>
      <c r="H63"/>
    </row>
  </sheetData>
  <mergeCells count="3">
    <mergeCell ref="B2:L2"/>
    <mergeCell ref="D23:E23"/>
    <mergeCell ref="D24:E24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399975585192419"/>
  </sheetPr>
  <dimension ref="A1:L58"/>
  <sheetViews>
    <sheetView zoomScale="85" zoomScaleNormal="85" workbookViewId="0">
      <selection activeCell="A1" sqref="A1"/>
    </sheetView>
  </sheetViews>
  <sheetFormatPr defaultColWidth="11.5" defaultRowHeight="16.8"/>
  <cols>
    <col min="1" max="1" width="14.3365384615385" customWidth="1"/>
    <col min="6" max="6" width="15.3365384615385" customWidth="1"/>
    <col min="7" max="7" width="14.5" customWidth="1"/>
  </cols>
  <sheetData>
    <row r="1" spans="1:12">
      <c r="A1" t="s">
        <v>154</v>
      </c>
      <c r="B1" t="str">
        <f>[28]Auswertung!S2</f>
        <v>Rindermist</v>
      </c>
      <c r="C1" t="s">
        <v>155</v>
      </c>
      <c r="D1" t="s">
        <v>58</v>
      </c>
      <c r="E1" t="str">
        <f>[28]Auswertung!$M$2</f>
        <v>Getreideschrot</v>
      </c>
      <c r="F1" s="544" t="str">
        <f>[28]Auswertung!$O$2</f>
        <v>Zuckerrüben</v>
      </c>
      <c r="G1" t="s">
        <v>157</v>
      </c>
      <c r="H1" t="str">
        <f>[28]Auswertung!$N$2</f>
        <v>Kartoffeln</v>
      </c>
      <c r="I1" t="s">
        <v>385</v>
      </c>
      <c r="J1" t="str">
        <f>[28]Auswertung!$V$2</f>
        <v>Rezirkulat</v>
      </c>
      <c r="K1" t="str">
        <f>[28]Auswertung!$W$2</f>
        <v>Additive</v>
      </c>
      <c r="L1" t="s">
        <v>386</v>
      </c>
    </row>
    <row r="2" spans="1:11">
      <c r="A2" s="228"/>
      <c r="B2" s="228" t="str">
        <f>[28]Auswertung!S3</f>
        <v>[%]</v>
      </c>
      <c r="C2" s="228" t="s">
        <v>59</v>
      </c>
      <c r="D2" s="228" t="s">
        <v>59</v>
      </c>
      <c r="E2" s="228" t="s">
        <v>59</v>
      </c>
      <c r="F2" s="228" t="s">
        <v>59</v>
      </c>
      <c r="G2" s="228" t="s">
        <v>59</v>
      </c>
      <c r="H2" s="228" t="s">
        <v>59</v>
      </c>
      <c r="I2" s="228" t="s">
        <v>56</v>
      </c>
      <c r="J2" s="228" t="s">
        <v>59</v>
      </c>
      <c r="K2" s="228" t="s">
        <v>59</v>
      </c>
    </row>
    <row r="3" spans="1:12">
      <c r="A3" s="245">
        <v>42644</v>
      </c>
      <c r="B3" s="203">
        <v>5.21479439467034</v>
      </c>
      <c r="C3" s="203">
        <v>68.320698368941</v>
      </c>
      <c r="D3" s="203">
        <v>14.2889960946474</v>
      </c>
      <c r="E3" s="203">
        <v>1.60808637721112</v>
      </c>
      <c r="F3" s="203">
        <v>3.81346198024351</v>
      </c>
      <c r="G3" s="203">
        <v>6.7539627842867</v>
      </c>
      <c r="H3" s="203">
        <v>0</v>
      </c>
      <c r="I3" s="203">
        <v>70.2096774193548</v>
      </c>
      <c r="J3" s="203">
        <v>0</v>
      </c>
      <c r="K3" s="203">
        <v>0</v>
      </c>
      <c r="L3" s="203">
        <f t="shared" ref="L3:L15" si="0">SUM(B3:H3,J3,K3)</f>
        <v>100</v>
      </c>
    </row>
    <row r="4" spans="1:12">
      <c r="A4" s="245">
        <v>42675</v>
      </c>
      <c r="B4" s="203">
        <v>5.02734539335297</v>
      </c>
      <c r="C4" s="203">
        <v>70.3828355069415</v>
      </c>
      <c r="D4" s="203">
        <v>12.620950778292</v>
      </c>
      <c r="E4" s="203">
        <v>1.2620950778292</v>
      </c>
      <c r="F4" s="203">
        <v>5.04838031131679</v>
      </c>
      <c r="G4" s="203">
        <v>5.65839293226756</v>
      </c>
      <c r="H4" s="203">
        <v>0</v>
      </c>
      <c r="I4" s="203">
        <v>76.6774193548387</v>
      </c>
      <c r="J4" s="203">
        <v>0</v>
      </c>
      <c r="K4" s="203">
        <v>0</v>
      </c>
      <c r="L4" s="203">
        <f t="shared" si="0"/>
        <v>100</v>
      </c>
    </row>
    <row r="5" spans="1:12">
      <c r="A5" s="245">
        <v>42705</v>
      </c>
      <c r="B5" s="203">
        <v>5.62195661797255</v>
      </c>
      <c r="C5" s="203">
        <v>67.286409915892</v>
      </c>
      <c r="D5" s="203">
        <v>13.7228862328464</v>
      </c>
      <c r="E5" s="203">
        <v>1.63789287295263</v>
      </c>
      <c r="F5" s="203">
        <v>5.48915449313856</v>
      </c>
      <c r="G5" s="203">
        <v>6.24169986719787</v>
      </c>
      <c r="H5" s="203">
        <v>0</v>
      </c>
      <c r="I5" s="203">
        <v>72.8709677419355</v>
      </c>
      <c r="J5" s="203">
        <v>0</v>
      </c>
      <c r="K5" s="203">
        <v>0</v>
      </c>
      <c r="L5" s="203">
        <f t="shared" si="0"/>
        <v>100</v>
      </c>
    </row>
    <row r="6" spans="1:12">
      <c r="A6" s="245">
        <v>42736</v>
      </c>
      <c r="B6" s="203">
        <v>4.76080425236885</v>
      </c>
      <c r="C6" s="203">
        <v>69.1934365611278</v>
      </c>
      <c r="D6" s="203">
        <v>16.1081580771897</v>
      </c>
      <c r="E6" s="203">
        <v>2.03374162237116</v>
      </c>
      <c r="F6" s="203">
        <v>1.38664201525306</v>
      </c>
      <c r="G6" s="203">
        <v>6.51721747168939</v>
      </c>
      <c r="H6" s="203">
        <v>0</v>
      </c>
      <c r="I6" s="203">
        <v>69.7903225806452</v>
      </c>
      <c r="J6" s="203">
        <v>0</v>
      </c>
      <c r="K6" s="203">
        <v>0</v>
      </c>
      <c r="L6" s="203">
        <f t="shared" si="0"/>
        <v>100</v>
      </c>
    </row>
    <row r="7" spans="1:12">
      <c r="A7" s="245">
        <v>42767</v>
      </c>
      <c r="B7" s="203">
        <v>3.84990253411306</v>
      </c>
      <c r="C7" s="203">
        <v>70.8089668615984</v>
      </c>
      <c r="D7" s="203">
        <v>17.8849902534113</v>
      </c>
      <c r="E7" s="203">
        <v>1.87621832358674</v>
      </c>
      <c r="F7" s="203">
        <v>0</v>
      </c>
      <c r="G7" s="203">
        <v>5.57992202729045</v>
      </c>
      <c r="H7" s="203">
        <v>0</v>
      </c>
      <c r="I7" s="203">
        <v>66.1935483870968</v>
      </c>
      <c r="J7" s="203">
        <v>0</v>
      </c>
      <c r="K7" s="203">
        <v>0</v>
      </c>
      <c r="L7" s="203">
        <f t="shared" si="0"/>
        <v>100</v>
      </c>
    </row>
    <row r="8" spans="1:12">
      <c r="A8" s="245">
        <v>42795</v>
      </c>
      <c r="B8" s="203">
        <v>5.08669497523001</v>
      </c>
      <c r="C8" s="203">
        <v>69.6656050955414</v>
      </c>
      <c r="D8" s="203">
        <v>17.4274593064402</v>
      </c>
      <c r="E8" s="203">
        <v>2.24699221514508</v>
      </c>
      <c r="F8" s="203">
        <v>0</v>
      </c>
      <c r="G8" s="203">
        <v>5.57324840764331</v>
      </c>
      <c r="H8" s="203">
        <v>0</v>
      </c>
      <c r="I8" s="203">
        <v>72.9290322580645</v>
      </c>
      <c r="J8" s="203">
        <v>0</v>
      </c>
      <c r="K8" s="203">
        <v>0</v>
      </c>
      <c r="L8" s="203">
        <f t="shared" si="0"/>
        <v>100</v>
      </c>
    </row>
    <row r="9" spans="1:12">
      <c r="A9" s="245">
        <v>42826</v>
      </c>
      <c r="B9" s="203">
        <v>3.6620191500084</v>
      </c>
      <c r="C9" s="203">
        <v>77.9774903410045</v>
      </c>
      <c r="D9" s="203">
        <v>11.5236015454393</v>
      </c>
      <c r="E9" s="203">
        <v>1.3270619855535</v>
      </c>
      <c r="F9" s="203">
        <v>0</v>
      </c>
      <c r="G9" s="203">
        <v>4.21636149840417</v>
      </c>
      <c r="H9" s="203">
        <v>1.29346547959012</v>
      </c>
      <c r="I9" s="203">
        <v>96.0161290322581</v>
      </c>
      <c r="J9" s="203">
        <v>0</v>
      </c>
      <c r="K9" s="203">
        <v>0</v>
      </c>
      <c r="L9" s="203">
        <f t="shared" si="0"/>
        <v>100</v>
      </c>
    </row>
    <row r="10" spans="1:12">
      <c r="A10" s="245">
        <v>42856</v>
      </c>
      <c r="B10" s="203">
        <v>5.07528336998816</v>
      </c>
      <c r="C10" s="203">
        <v>70.7156149551683</v>
      </c>
      <c r="D10" s="203">
        <v>11.2502114701404</v>
      </c>
      <c r="E10" s="203">
        <v>1.05312129927254</v>
      </c>
      <c r="F10" s="203">
        <v>0</v>
      </c>
      <c r="G10" s="203">
        <v>6.28066317036035</v>
      </c>
      <c r="H10" s="203">
        <v>5.62510573507021</v>
      </c>
      <c r="I10" s="203">
        <v>76.2709677419355</v>
      </c>
      <c r="J10" s="203">
        <v>0</v>
      </c>
      <c r="K10" s="203">
        <v>0</v>
      </c>
      <c r="L10" s="203">
        <f t="shared" si="0"/>
        <v>100</v>
      </c>
    </row>
    <row r="11" spans="1:12">
      <c r="A11" s="245">
        <v>42887</v>
      </c>
      <c r="B11" s="203">
        <v>4.45847684653655</v>
      </c>
      <c r="C11" s="203">
        <v>71.5269804822044</v>
      </c>
      <c r="D11" s="203">
        <v>9.68235744355147</v>
      </c>
      <c r="E11" s="203">
        <v>1.09070034443169</v>
      </c>
      <c r="F11" s="203">
        <v>0</v>
      </c>
      <c r="G11" s="203">
        <v>6.62074244163796</v>
      </c>
      <c r="H11" s="203">
        <v>6.62074244163796</v>
      </c>
      <c r="I11" s="203">
        <v>84.2903225806452</v>
      </c>
      <c r="J11" s="203">
        <v>0</v>
      </c>
      <c r="K11" s="203">
        <v>0</v>
      </c>
      <c r="L11" s="203">
        <f t="shared" si="0"/>
        <v>100</v>
      </c>
    </row>
    <row r="12" spans="1:12">
      <c r="A12" s="245">
        <v>42917</v>
      </c>
      <c r="B12" s="203">
        <v>4.82578721818521</v>
      </c>
      <c r="C12" s="203">
        <v>71.8837339295696</v>
      </c>
      <c r="D12" s="203">
        <v>10.7136202720328</v>
      </c>
      <c r="E12" s="203">
        <v>1.30426681572573</v>
      </c>
      <c r="F12" s="203">
        <v>0</v>
      </c>
      <c r="G12" s="203">
        <v>7.47158561580026</v>
      </c>
      <c r="H12" s="203">
        <v>3.80100614868642</v>
      </c>
      <c r="I12" s="203">
        <v>86.5645161290323</v>
      </c>
      <c r="J12" s="203">
        <v>0</v>
      </c>
      <c r="K12" s="203">
        <v>0</v>
      </c>
      <c r="L12" s="203">
        <f t="shared" si="0"/>
        <v>100</v>
      </c>
    </row>
    <row r="13" spans="1:12">
      <c r="A13" s="245">
        <v>42948</v>
      </c>
      <c r="B13" s="203">
        <v>4.6927374301676</v>
      </c>
      <c r="C13" s="203">
        <v>71.5083798882682</v>
      </c>
      <c r="D13" s="203">
        <v>13.6685288640596</v>
      </c>
      <c r="E13" s="203">
        <v>1.65735567970205</v>
      </c>
      <c r="F13" s="203">
        <v>0</v>
      </c>
      <c r="G13" s="203">
        <v>8.47299813780261</v>
      </c>
      <c r="H13" s="203">
        <v>0</v>
      </c>
      <c r="I13" s="203">
        <v>86.6129032258064</v>
      </c>
      <c r="J13" s="203">
        <v>0</v>
      </c>
      <c r="K13" s="203">
        <v>0</v>
      </c>
      <c r="L13" s="203">
        <f t="shared" si="0"/>
        <v>100</v>
      </c>
    </row>
    <row r="14" spans="1:12">
      <c r="A14" s="246">
        <v>42979</v>
      </c>
      <c r="B14" s="259">
        <v>5.65742397137746</v>
      </c>
      <c r="C14" s="259">
        <v>66.3685152057245</v>
      </c>
      <c r="D14" s="259">
        <v>16.1001788908766</v>
      </c>
      <c r="E14" s="259">
        <v>1.92307692307692</v>
      </c>
      <c r="F14" s="259">
        <v>0.536672629695885</v>
      </c>
      <c r="G14" s="259">
        <v>9.41413237924866</v>
      </c>
      <c r="H14" s="259">
        <v>0</v>
      </c>
      <c r="I14" s="259">
        <v>72.1290322580645</v>
      </c>
      <c r="J14" s="259">
        <v>0</v>
      </c>
      <c r="K14" s="259">
        <v>0</v>
      </c>
      <c r="L14" s="203">
        <f t="shared" si="0"/>
        <v>100</v>
      </c>
    </row>
    <row r="15" spans="1:12">
      <c r="A15" t="s">
        <v>474</v>
      </c>
      <c r="B15" s="203">
        <f>[28]Auswertung!S16</f>
        <v>4.79942594081921</v>
      </c>
      <c r="C15" s="203">
        <f>[28]Auswertung!T16</f>
        <v>70.7174353143459</v>
      </c>
      <c r="D15" s="203">
        <f>[28]Auswertung!L16</f>
        <v>13.543775479076</v>
      </c>
      <c r="E15" s="203">
        <f>[28]Auswertung!M16</f>
        <v>1.5623700047145</v>
      </c>
      <c r="F15" s="203">
        <f>[28]Auswertung!O16</f>
        <v>1.27915360936243</v>
      </c>
      <c r="G15" s="203">
        <f>[28]Auswertung!Q16+[28]Auswertung!R16</f>
        <v>6.55002911894395</v>
      </c>
      <c r="H15" s="203">
        <f>[28]Auswertung!N16</f>
        <v>1.54781053273801</v>
      </c>
      <c r="I15" s="203">
        <f>[28]Auswertung!U16</f>
        <v>77.5462365591398</v>
      </c>
      <c r="J15" s="203">
        <f>[28]Auswertung!V16</f>
        <v>0</v>
      </c>
      <c r="K15" s="203">
        <f>[28]Auswertung!W16</f>
        <v>0</v>
      </c>
      <c r="L15" s="203">
        <f t="shared" si="0"/>
        <v>100</v>
      </c>
    </row>
    <row r="19" spans="1:12">
      <c r="A19" s="458"/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</row>
    <row r="20" spans="1:12">
      <c r="A20" s="458"/>
      <c r="B20" s="458"/>
      <c r="C20" s="458"/>
      <c r="D20" s="458"/>
      <c r="E20" s="458"/>
      <c r="F20" s="458"/>
      <c r="G20" s="458"/>
      <c r="H20" s="458"/>
      <c r="I20" s="458"/>
      <c r="J20" s="458"/>
      <c r="K20" s="458"/>
      <c r="L20" s="458"/>
    </row>
    <row r="21" spans="1:12">
      <c r="A21" s="458"/>
      <c r="B21" s="458"/>
      <c r="C21" s="458"/>
      <c r="D21" s="458" t="s">
        <v>104</v>
      </c>
      <c r="E21" t="s">
        <v>22</v>
      </c>
      <c r="F21" s="458"/>
      <c r="G21" s="458"/>
      <c r="H21" s="458"/>
      <c r="I21" s="458"/>
      <c r="J21" s="458"/>
      <c r="K21" s="458"/>
      <c r="L21" s="458"/>
    </row>
    <row r="22" ht="34" spans="1:12">
      <c r="A22" s="458"/>
      <c r="B22" s="458"/>
      <c r="C22" s="458"/>
      <c r="D22" s="460"/>
      <c r="E22" s="260" t="s">
        <v>475</v>
      </c>
      <c r="F22" s="260"/>
      <c r="G22" s="458"/>
      <c r="H22" s="458"/>
      <c r="I22" s="458"/>
      <c r="J22" s="458"/>
      <c r="K22" s="458"/>
      <c r="L22" s="458"/>
    </row>
    <row r="23" spans="1:12">
      <c r="A23" s="458"/>
      <c r="B23" s="458"/>
      <c r="C23" s="458"/>
      <c r="D23" s="461">
        <f t="shared" ref="D23:D34" si="1">A3</f>
        <v>42644</v>
      </c>
      <c r="E23" s="472">
        <v>0.119587664554396</v>
      </c>
      <c r="F23" s="261"/>
      <c r="G23" s="458"/>
      <c r="H23" s="458"/>
      <c r="I23" s="458"/>
      <c r="J23" s="458"/>
      <c r="K23" s="458"/>
      <c r="L23" s="458"/>
    </row>
    <row r="24" spans="1:12">
      <c r="A24" s="458"/>
      <c r="B24" s="458"/>
      <c r="C24" s="458"/>
      <c r="D24" s="461">
        <f t="shared" si="1"/>
        <v>42675</v>
      </c>
      <c r="E24" s="472">
        <v>0.113728647018035</v>
      </c>
      <c r="F24" s="261"/>
      <c r="G24" s="458"/>
      <c r="H24" s="458"/>
      <c r="I24" s="458"/>
      <c r="J24" s="458"/>
      <c r="K24" s="458"/>
      <c r="L24" s="458"/>
    </row>
    <row r="25" spans="1:12">
      <c r="A25" s="458"/>
      <c r="B25" s="458"/>
      <c r="C25" s="458"/>
      <c r="D25" s="461">
        <f t="shared" si="1"/>
        <v>42705</v>
      </c>
      <c r="E25" s="472">
        <v>0.112273470684385</v>
      </c>
      <c r="F25" s="261"/>
      <c r="G25" s="458"/>
      <c r="H25" s="458"/>
      <c r="I25" s="458"/>
      <c r="J25" s="458"/>
      <c r="K25" s="458"/>
      <c r="L25" s="458"/>
    </row>
    <row r="26" spans="1:12">
      <c r="A26" s="458"/>
      <c r="B26" s="458"/>
      <c r="C26" s="458"/>
      <c r="D26" s="461">
        <f t="shared" si="1"/>
        <v>42736</v>
      </c>
      <c r="E26" s="472">
        <v>0.124021147270911</v>
      </c>
      <c r="F26" s="261"/>
      <c r="G26" s="458"/>
      <c r="H26" s="458"/>
      <c r="I26" s="458"/>
      <c r="J26" s="458"/>
      <c r="K26" s="458"/>
      <c r="L26" s="458"/>
    </row>
    <row r="27" spans="1:12">
      <c r="A27" s="458"/>
      <c r="B27" s="458"/>
      <c r="C27" s="458"/>
      <c r="D27" s="461">
        <f t="shared" si="1"/>
        <v>42767</v>
      </c>
      <c r="E27" s="472">
        <v>0.127084967466331</v>
      </c>
      <c r="F27" s="261"/>
      <c r="G27" s="458"/>
      <c r="H27" s="458"/>
      <c r="I27" s="458"/>
      <c r="J27" s="458"/>
      <c r="K27" s="458"/>
      <c r="L27" s="458"/>
    </row>
    <row r="28" spans="1:12">
      <c r="A28" s="458"/>
      <c r="B28" s="458"/>
      <c r="C28" s="458"/>
      <c r="D28" s="461">
        <f t="shared" si="1"/>
        <v>42795</v>
      </c>
      <c r="E28" s="472">
        <v>0.11357148171655</v>
      </c>
      <c r="F28" s="261"/>
      <c r="G28" s="458"/>
      <c r="H28" s="458"/>
      <c r="I28" s="458"/>
      <c r="J28" s="458"/>
      <c r="K28" s="458"/>
      <c r="L28" s="458"/>
    </row>
    <row r="29" spans="1:12">
      <c r="A29" s="458"/>
      <c r="B29" s="458"/>
      <c r="C29" s="458"/>
      <c r="D29" s="461">
        <f t="shared" si="1"/>
        <v>42826</v>
      </c>
      <c r="E29" s="472">
        <v>0.103448781381712</v>
      </c>
      <c r="F29" s="261"/>
      <c r="G29" s="458"/>
      <c r="H29" s="458"/>
      <c r="I29" s="458"/>
      <c r="J29" s="458"/>
      <c r="K29" s="458"/>
      <c r="L29" s="458"/>
    </row>
    <row r="30" spans="1:12">
      <c r="A30" s="458"/>
      <c r="B30" s="458"/>
      <c r="C30" s="458"/>
      <c r="D30" s="461">
        <f t="shared" si="1"/>
        <v>42856</v>
      </c>
      <c r="E30" s="472">
        <v>0.0858788817382363</v>
      </c>
      <c r="F30" s="261"/>
      <c r="G30" s="458"/>
      <c r="H30" s="458"/>
      <c r="I30" s="458"/>
      <c r="J30" s="458"/>
      <c r="K30" s="458"/>
      <c r="L30" s="458"/>
    </row>
    <row r="31" spans="1:12">
      <c r="A31" s="458"/>
      <c r="B31" s="458"/>
      <c r="C31" s="458"/>
      <c r="D31" s="461">
        <f t="shared" si="1"/>
        <v>42887</v>
      </c>
      <c r="E31" s="472">
        <v>0.101829536332208</v>
      </c>
      <c r="F31" s="261"/>
      <c r="G31" s="458"/>
      <c r="H31" s="458"/>
      <c r="I31" s="458"/>
      <c r="J31" s="458"/>
      <c r="K31" s="458"/>
      <c r="L31" s="458"/>
    </row>
    <row r="32" spans="1:12">
      <c r="A32" s="458"/>
      <c r="B32" s="458"/>
      <c r="C32" s="458"/>
      <c r="D32" s="461">
        <f t="shared" si="1"/>
        <v>42917</v>
      </c>
      <c r="E32" s="786" t="s">
        <v>496</v>
      </c>
      <c r="F32" s="261"/>
      <c r="G32" s="458"/>
      <c r="H32" s="458"/>
      <c r="I32" s="458"/>
      <c r="J32" s="458"/>
      <c r="K32" s="458"/>
      <c r="L32" s="458"/>
    </row>
    <row r="33" spans="1:12">
      <c r="A33" s="458"/>
      <c r="B33" s="458"/>
      <c r="C33" s="458"/>
      <c r="D33" s="461">
        <f t="shared" si="1"/>
        <v>42948</v>
      </c>
      <c r="E33" s="472">
        <v>0.0999514642925584</v>
      </c>
      <c r="F33" s="261"/>
      <c r="G33" s="458"/>
      <c r="H33" s="458"/>
      <c r="I33" s="458"/>
      <c r="J33" s="458"/>
      <c r="K33" s="458"/>
      <c r="L33" s="458"/>
    </row>
    <row r="34" spans="1:12">
      <c r="A34" s="458"/>
      <c r="B34" s="458"/>
      <c r="C34" s="458"/>
      <c r="D34" s="461">
        <f t="shared" si="1"/>
        <v>42979</v>
      </c>
      <c r="E34" s="472">
        <v>0.119941334805543</v>
      </c>
      <c r="F34" s="262"/>
      <c r="G34" s="458"/>
      <c r="H34" s="458"/>
      <c r="I34" s="458"/>
      <c r="J34" s="458"/>
      <c r="K34" s="458"/>
      <c r="L34" s="458"/>
    </row>
    <row r="35" ht="17.55" spans="1:12">
      <c r="A35" s="458"/>
      <c r="B35" s="458"/>
      <c r="C35" s="458"/>
      <c r="D35" s="248"/>
      <c r="E35" s="248">
        <f>AVERAGE(E23:E34)</f>
        <v>0.11102885247826</v>
      </c>
      <c r="F35" s="248"/>
      <c r="G35" s="458"/>
      <c r="H35" s="458"/>
      <c r="I35" s="458"/>
      <c r="J35" s="458"/>
      <c r="K35" s="458"/>
      <c r="L35" s="458"/>
    </row>
    <row r="36" ht="17.55" spans="1:12">
      <c r="A36" s="458"/>
      <c r="B36" s="458"/>
      <c r="C36" s="458"/>
      <c r="D36" s="458"/>
      <c r="E36" s="458"/>
      <c r="F36" s="458"/>
      <c r="G36" s="458"/>
      <c r="H36" s="458"/>
      <c r="I36" s="458"/>
      <c r="J36" s="458"/>
      <c r="K36" s="458"/>
      <c r="L36" s="458"/>
    </row>
    <row r="37" spans="1:12">
      <c r="A37" s="458"/>
      <c r="B37" s="458"/>
      <c r="C37" s="458"/>
      <c r="D37" s="458"/>
      <c r="E37" s="458"/>
      <c r="F37" s="458"/>
      <c r="G37" s="458"/>
      <c r="H37" s="458"/>
      <c r="I37" s="458"/>
      <c r="J37" s="458"/>
      <c r="K37" s="458"/>
      <c r="L37" s="458"/>
    </row>
    <row r="38" spans="8:8">
      <c r="H38" t="s">
        <v>77</v>
      </c>
    </row>
    <row r="39" ht="51" spans="2:2">
      <c r="B39" s="48" t="s">
        <v>391</v>
      </c>
    </row>
    <row r="40" s="48" customFormat="1" ht="84" spans="2:12">
      <c r="B40" s="48" t="s">
        <v>393</v>
      </c>
      <c r="C40" s="48" t="s">
        <v>394</v>
      </c>
      <c r="D40" s="48" t="s">
        <v>395</v>
      </c>
      <c r="E40" s="48" t="s">
        <v>396</v>
      </c>
      <c r="F40" s="48" t="s">
        <v>183</v>
      </c>
      <c r="G40" s="48" t="s">
        <v>184</v>
      </c>
      <c r="H40" s="48" t="s">
        <v>397</v>
      </c>
      <c r="I40" s="48" t="s">
        <v>398</v>
      </c>
      <c r="J40" s="48" t="s">
        <v>399</v>
      </c>
      <c r="K40" s="48" t="s">
        <v>400</v>
      </c>
      <c r="L40" s="48" t="s">
        <v>401</v>
      </c>
    </row>
    <row r="41" s="48" customFormat="1" ht="34" spans="1:12">
      <c r="A41" s="760" t="s">
        <v>154</v>
      </c>
      <c r="B41" s="760" t="s">
        <v>185</v>
      </c>
      <c r="C41" s="760" t="s">
        <v>185</v>
      </c>
      <c r="D41" s="760" t="s">
        <v>185</v>
      </c>
      <c r="E41" s="760" t="s">
        <v>185</v>
      </c>
      <c r="F41" s="760" t="s">
        <v>59</v>
      </c>
      <c r="G41" s="760" t="s">
        <v>402</v>
      </c>
      <c r="H41" s="760" t="s">
        <v>185</v>
      </c>
      <c r="I41" s="760" t="s">
        <v>403</v>
      </c>
      <c r="J41" s="760" t="s">
        <v>404</v>
      </c>
      <c r="K41" s="760" t="s">
        <v>122</v>
      </c>
      <c r="L41" s="760" t="s">
        <v>122</v>
      </c>
    </row>
    <row r="42" spans="1:12">
      <c r="A42" s="245">
        <v>42644</v>
      </c>
      <c r="B42" s="251">
        <v>394887.9</v>
      </c>
      <c r="C42" s="251">
        <v>386256.470491803</v>
      </c>
      <c r="D42" s="251">
        <v>65370</v>
      </c>
      <c r="E42" s="251">
        <v>115570</v>
      </c>
      <c r="F42" s="689">
        <f>100*0.966781978964687</f>
        <v>96.6781978964687</v>
      </c>
      <c r="G42" s="689"/>
      <c r="H42" s="689">
        <v>28.9266334274444</v>
      </c>
      <c r="I42">
        <v>31</v>
      </c>
      <c r="J42">
        <v>744</v>
      </c>
      <c r="K42" s="199">
        <v>549</v>
      </c>
      <c r="L42">
        <v>537</v>
      </c>
    </row>
    <row r="43" spans="1:12">
      <c r="A43" s="245">
        <v>42675</v>
      </c>
      <c r="B43" s="251">
        <v>390478.44</v>
      </c>
      <c r="C43" s="251">
        <v>381943.392131148</v>
      </c>
      <c r="D43" s="251">
        <v>111160</v>
      </c>
      <c r="E43" s="251">
        <v>185660</v>
      </c>
      <c r="F43" s="689">
        <f>100*0.987852762598664</f>
        <v>98.7852762598664</v>
      </c>
      <c r="G43" s="689">
        <v>28.7502586385268</v>
      </c>
      <c r="H43" s="689">
        <v>48.0188288847507</v>
      </c>
      <c r="I43">
        <v>30</v>
      </c>
      <c r="J43">
        <v>720</v>
      </c>
      <c r="K43">
        <v>549</v>
      </c>
      <c r="L43">
        <v>537</v>
      </c>
    </row>
    <row r="44" spans="1:12">
      <c r="A44" s="245">
        <v>42705</v>
      </c>
      <c r="B44" s="251">
        <v>406685.22</v>
      </c>
      <c r="C44" s="251">
        <v>397795.925573771</v>
      </c>
      <c r="D44" s="251">
        <v>113800</v>
      </c>
      <c r="E44" s="251">
        <v>174200</v>
      </c>
      <c r="F44" s="689">
        <f>100*0.995664698278395</f>
        <v>99.5664698278395</v>
      </c>
      <c r="G44" s="689">
        <v>28.4836106605795</v>
      </c>
      <c r="H44" s="689">
        <v>43.6014497106586</v>
      </c>
      <c r="I44">
        <v>31</v>
      </c>
      <c r="J44">
        <v>744</v>
      </c>
      <c r="K44">
        <v>549</v>
      </c>
      <c r="L44">
        <v>537</v>
      </c>
    </row>
    <row r="45" spans="1:12">
      <c r="A45" s="245">
        <v>42736</v>
      </c>
      <c r="B45" s="251">
        <v>389229.96</v>
      </c>
      <c r="C45" s="251">
        <v>380722.201311475</v>
      </c>
      <c r="D45" s="251">
        <v>130420</v>
      </c>
      <c r="E45" s="251">
        <v>200620</v>
      </c>
      <c r="F45" s="689">
        <f>100*0.952929960632235</f>
        <v>95.2929960632235</v>
      </c>
      <c r="G45" s="689">
        <v>32.6435193528363</v>
      </c>
      <c r="H45" s="689">
        <v>50.2142528183256</v>
      </c>
      <c r="I45">
        <v>31</v>
      </c>
      <c r="J45">
        <v>744</v>
      </c>
      <c r="K45">
        <v>549</v>
      </c>
      <c r="L45">
        <v>537</v>
      </c>
    </row>
    <row r="46" spans="1:12">
      <c r="A46" s="245">
        <v>42767</v>
      </c>
      <c r="B46" s="251">
        <v>359292.96</v>
      </c>
      <c r="C46" s="251">
        <v>351439.561967213</v>
      </c>
      <c r="D46" s="251">
        <v>101540</v>
      </c>
      <c r="E46" s="251">
        <v>175440</v>
      </c>
      <c r="F46" s="689">
        <f>100*0.97388368462139</f>
        <v>97.388368462139</v>
      </c>
      <c r="G46" s="689">
        <v>28.1380242972422</v>
      </c>
      <c r="H46" s="689">
        <v>48.6166533652567</v>
      </c>
      <c r="I46">
        <v>28</v>
      </c>
      <c r="J46">
        <v>672</v>
      </c>
      <c r="K46">
        <v>549</v>
      </c>
      <c r="L46">
        <v>537</v>
      </c>
    </row>
    <row r="47" spans="1:12">
      <c r="A47" s="245">
        <v>42795</v>
      </c>
      <c r="B47" s="251">
        <v>404239.26</v>
      </c>
      <c r="C47" s="251">
        <v>395403.429180328</v>
      </c>
      <c r="D47" s="251">
        <v>90920</v>
      </c>
      <c r="E47" s="251">
        <v>157420</v>
      </c>
      <c r="F47" s="689">
        <f>100*0.989676391092309</f>
        <v>98.9676391092309</v>
      </c>
      <c r="G47" s="689">
        <v>22.7568530866422</v>
      </c>
      <c r="H47" s="689">
        <v>39.4014937626399</v>
      </c>
      <c r="I47">
        <v>31</v>
      </c>
      <c r="J47">
        <v>744</v>
      </c>
      <c r="K47">
        <v>549</v>
      </c>
      <c r="L47">
        <v>537</v>
      </c>
    </row>
    <row r="48" spans="1:12">
      <c r="A48" s="245">
        <v>42826</v>
      </c>
      <c r="B48" s="251">
        <v>391350.54</v>
      </c>
      <c r="C48" s="251">
        <v>382796.429836066</v>
      </c>
      <c r="D48" s="251">
        <v>73650</v>
      </c>
      <c r="E48" s="251">
        <v>149350</v>
      </c>
      <c r="F48" s="689">
        <f>100*0.99005904675167</f>
        <v>99.005904675167</v>
      </c>
      <c r="G48" s="689">
        <v>19.0487274984482</v>
      </c>
      <c r="H48" s="689">
        <v>38.627663976826</v>
      </c>
      <c r="I48">
        <v>30</v>
      </c>
      <c r="J48">
        <v>720</v>
      </c>
      <c r="K48">
        <v>549</v>
      </c>
      <c r="L48">
        <v>537</v>
      </c>
    </row>
    <row r="49" spans="1:12">
      <c r="A49" s="245">
        <v>42856</v>
      </c>
      <c r="B49" s="251">
        <v>397319.58</v>
      </c>
      <c r="C49" s="251">
        <v>388634.999016393</v>
      </c>
      <c r="D49" s="251">
        <v>45820</v>
      </c>
      <c r="E49" s="251">
        <v>87020</v>
      </c>
      <c r="F49" s="689">
        <f>100*0.972735325224749</f>
        <v>97.2735325224749</v>
      </c>
      <c r="G49" s="689">
        <v>11.4685328687852</v>
      </c>
      <c r="H49" s="689">
        <v>21.7807012274484</v>
      </c>
      <c r="I49">
        <v>31</v>
      </c>
      <c r="J49">
        <v>744</v>
      </c>
      <c r="K49">
        <v>549</v>
      </c>
      <c r="L49">
        <v>537</v>
      </c>
    </row>
    <row r="50" spans="1:12">
      <c r="A50" s="245">
        <v>42887</v>
      </c>
      <c r="B50" s="251">
        <v>378438.36</v>
      </c>
      <c r="C50" s="251">
        <v>370166.483278689</v>
      </c>
      <c r="D50" s="251">
        <v>35730</v>
      </c>
      <c r="E50" s="251">
        <v>69230</v>
      </c>
      <c r="F50" s="689">
        <f>100*0.95739313904068</f>
        <v>95.739313904068</v>
      </c>
      <c r="G50" s="689">
        <v>9.24115456238361</v>
      </c>
      <c r="H50" s="689">
        <v>17.9055452100145</v>
      </c>
      <c r="I50">
        <v>30</v>
      </c>
      <c r="J50">
        <v>720</v>
      </c>
      <c r="K50">
        <v>549</v>
      </c>
      <c r="L50">
        <v>537</v>
      </c>
    </row>
    <row r="51" spans="1:12">
      <c r="A51" s="245">
        <v>42917</v>
      </c>
      <c r="B51" s="251">
        <v>377349</v>
      </c>
      <c r="C51" s="251">
        <v>369100.93442623</v>
      </c>
      <c r="D51" s="251">
        <v>31870</v>
      </c>
      <c r="E51" s="251">
        <v>59070</v>
      </c>
      <c r="F51" s="689">
        <f>100*0.923842470180387</f>
        <v>92.3842470180387</v>
      </c>
      <c r="G51" s="689">
        <v>7.97691275705332</v>
      </c>
      <c r="H51" s="689">
        <v>14.7849462365591</v>
      </c>
      <c r="I51">
        <v>31</v>
      </c>
      <c r="J51">
        <v>744</v>
      </c>
      <c r="K51">
        <v>549</v>
      </c>
      <c r="L51">
        <v>537</v>
      </c>
    </row>
    <row r="52" spans="1:12">
      <c r="A52" s="245">
        <v>42948</v>
      </c>
      <c r="B52" s="251">
        <v>384262.56</v>
      </c>
      <c r="C52" s="251">
        <v>375863.378360656</v>
      </c>
      <c r="D52" s="251">
        <v>38420</v>
      </c>
      <c r="E52" s="251">
        <v>72920</v>
      </c>
      <c r="F52" s="689">
        <f>100*0.940768552793936</f>
        <v>94.0768552793936</v>
      </c>
      <c r="G52" s="689">
        <v>9.61634728980197</v>
      </c>
      <c r="H52" s="689">
        <v>18.2515368134399</v>
      </c>
      <c r="I52">
        <v>31</v>
      </c>
      <c r="J52">
        <v>744</v>
      </c>
      <c r="K52">
        <v>549</v>
      </c>
      <c r="L52">
        <v>537</v>
      </c>
    </row>
    <row r="53" spans="1:12">
      <c r="A53" s="246">
        <v>42979</v>
      </c>
      <c r="B53" s="252">
        <v>385122.42</v>
      </c>
      <c r="C53" s="252">
        <v>376704.443606557</v>
      </c>
      <c r="D53" s="252">
        <v>47010</v>
      </c>
      <c r="E53" s="252">
        <v>78710</v>
      </c>
      <c r="F53" s="762">
        <f>100*0.974302823315118</f>
        <v>97.4302823315118</v>
      </c>
      <c r="G53" s="762">
        <v>12.1585971446307</v>
      </c>
      <c r="H53" s="762">
        <v>20.3574384440306</v>
      </c>
      <c r="I53" s="228">
        <v>30</v>
      </c>
      <c r="J53" s="228">
        <v>720</v>
      </c>
      <c r="K53" s="228">
        <v>549</v>
      </c>
      <c r="L53" s="228">
        <v>537</v>
      </c>
    </row>
    <row r="54" spans="2:12">
      <c r="B54" s="251">
        <f t="shared" ref="B54:H54" si="2">AVERAGE(B42:B53)</f>
        <v>388221.35</v>
      </c>
      <c r="C54" s="251">
        <f t="shared" si="2"/>
        <v>379735.637431694</v>
      </c>
      <c r="D54" s="251">
        <f t="shared" si="2"/>
        <v>73809.1666666667</v>
      </c>
      <c r="E54" s="251">
        <f t="shared" si="2"/>
        <v>127100.833333333</v>
      </c>
      <c r="F54" s="764">
        <f t="shared" si="2"/>
        <v>96.8824236124518</v>
      </c>
      <c r="G54" s="764">
        <f t="shared" si="2"/>
        <v>19.1165943779027</v>
      </c>
      <c r="H54" s="764">
        <f t="shared" si="2"/>
        <v>32.5405953231162</v>
      </c>
      <c r="I54" s="764"/>
      <c r="J54" s="764"/>
      <c r="K54" s="689">
        <f>AVERAGE(K42:K53)</f>
        <v>549</v>
      </c>
      <c r="L54" s="689">
        <f>AVERAGE(L42:L53)</f>
        <v>537</v>
      </c>
    </row>
    <row r="55" spans="2:5">
      <c r="B55" s="251">
        <f>SUM(B42:B53)</f>
        <v>4658656.2</v>
      </c>
      <c r="C55" s="251">
        <f>SUM(C42:C53)</f>
        <v>4556827.64918033</v>
      </c>
      <c r="D55" s="251">
        <f>SUM(D42:D53)</f>
        <v>885710</v>
      </c>
      <c r="E55" s="251">
        <f>SUM(E42:E53)</f>
        <v>1525210</v>
      </c>
    </row>
    <row r="56" spans="6:6">
      <c r="F56" t="s">
        <v>407</v>
      </c>
    </row>
    <row r="57" spans="6:7">
      <c r="F57" s="765">
        <f>(B55+E55)/((K54+L54)*8760)</f>
        <v>0.650019152013589</v>
      </c>
      <c r="G57" t="s">
        <v>408</v>
      </c>
    </row>
    <row r="58" spans="7:7">
      <c r="G58" t="s">
        <v>409</v>
      </c>
    </row>
  </sheetData>
  <pageMargins left="0.7" right="0.7" top="0.787401575" bottom="0.787401575" header="0.3" footer="0.3"/>
  <pageSetup paperSize="9" orientation="portrait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399975585192419"/>
  </sheetPr>
  <dimension ref="A1:N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  <col min="21" max="22" width="13.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477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549</v>
      </c>
      <c r="G3" s="22"/>
      <c r="H3" s="23" t="s">
        <v>187</v>
      </c>
      <c r="I3" s="5" t="s">
        <v>188</v>
      </c>
      <c r="J3" s="35">
        <v>4495160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f>0.95*F3</f>
        <v>521.55</v>
      </c>
      <c r="G4" s="184"/>
      <c r="H4" s="25" t="s">
        <v>187</v>
      </c>
      <c r="I4" s="7" t="s">
        <v>191</v>
      </c>
      <c r="J4" s="37">
        <v>1769428.9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221"/>
      <c r="G5" s="221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93.7695192674247</v>
      </c>
      <c r="H6" s="27" t="s">
        <v>195</v>
      </c>
      <c r="I6" s="1"/>
      <c r="J6" s="40">
        <v>952829.79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3.32733806489165</v>
      </c>
      <c r="H7" s="27" t="s">
        <v>195</v>
      </c>
      <c r="I7" s="1"/>
      <c r="J7" s="40">
        <v>33810.42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2.90314266768363</v>
      </c>
      <c r="H8" s="27" t="s">
        <v>195</v>
      </c>
      <c r="I8" s="1"/>
      <c r="J8" s="40">
        <v>29500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1016140.21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45.838264777868</v>
      </c>
      <c r="H11" s="27" t="s">
        <v>195</v>
      </c>
      <c r="I11" s="1"/>
      <c r="J11" s="40">
        <v>301076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32.5</v>
      </c>
      <c r="F13" s="15" t="s">
        <v>204</v>
      </c>
      <c r="G13" s="31"/>
      <c r="H13" s="15"/>
      <c r="I13" s="15"/>
      <c r="J13" s="45">
        <v>128326.25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32.2</v>
      </c>
      <c r="F14" s="15" t="s">
        <v>204</v>
      </c>
      <c r="G14" s="31"/>
      <c r="H14" s="15"/>
      <c r="I14" s="15"/>
      <c r="J14" s="45">
        <v>59650.5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106.95</v>
      </c>
      <c r="F15" s="15" t="s">
        <v>204</v>
      </c>
      <c r="G15" s="31"/>
      <c r="H15" s="15"/>
      <c r="I15" s="15"/>
      <c r="J15" s="45">
        <v>73050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12.3423009829658</v>
      </c>
      <c r="H16" s="27" t="s">
        <v>195</v>
      </c>
      <c r="I16" s="1"/>
      <c r="J16" s="40">
        <v>81067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11.5908041019672</v>
      </c>
      <c r="H17" s="27" t="s">
        <v>195</v>
      </c>
      <c r="I17" s="1"/>
      <c r="J17" s="40">
        <v>76131</v>
      </c>
      <c r="K17" s="41" t="s">
        <v>196</v>
      </c>
      <c r="L17" s="1"/>
    </row>
    <row r="18" ht="21.75" customHeight="1" spans="1:14">
      <c r="A18" s="1"/>
      <c r="B18" s="11"/>
      <c r="C18" s="1" t="s">
        <v>209</v>
      </c>
      <c r="D18" s="1"/>
      <c r="E18" s="1"/>
      <c r="F18" s="1"/>
      <c r="G18" s="26">
        <v>17.5970576643836</v>
      </c>
      <c r="H18" s="27" t="s">
        <v>195</v>
      </c>
      <c r="I18" s="1"/>
      <c r="J18" s="40">
        <v>115581.42</v>
      </c>
      <c r="K18" s="41" t="s">
        <v>196</v>
      </c>
      <c r="L18" s="1"/>
      <c r="N18" t="s">
        <v>77</v>
      </c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12.6315724728154</v>
      </c>
      <c r="H19" s="27" t="s">
        <v>195</v>
      </c>
      <c r="I19" s="1"/>
      <c r="J19" s="40">
        <v>82967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30876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4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  <c r="N24" t="s">
        <v>77</v>
      </c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10871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13828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11749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15643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656822.42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22.6052067112183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14.6117695476913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7.99343716352699</v>
      </c>
      <c r="K36" s="41" t="s">
        <v>226</v>
      </c>
      <c r="L36" s="12"/>
    </row>
    <row r="37" ht="14.2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359317.79</v>
      </c>
      <c r="K37" s="43" t="s">
        <v>196</v>
      </c>
      <c r="L37" s="1"/>
    </row>
    <row r="38" ht="21.75" customHeight="1"/>
    <row r="39" s="785" customFormat="1" ht="45" customHeight="1" spans="9:9">
      <c r="I39" s="785" t="s">
        <v>77</v>
      </c>
    </row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s="48" customFormat="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R66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7.3365384615385" style="156" customWidth="1"/>
    <col min="4" max="4" width="11.3365384615385" style="156" customWidth="1"/>
    <col min="5" max="5" width="11.1634615384615" style="156" customWidth="1"/>
    <col min="6" max="6" width="2.83653846153846" style="156" customWidth="1"/>
    <col min="7" max="7" width="8.5" style="156" customWidth="1"/>
    <col min="8" max="8" width="15.6634615384615" style="156" customWidth="1"/>
    <col min="9" max="9" width="13.5" style="156" customWidth="1"/>
    <col min="10" max="10" width="14.1634615384615" style="156" customWidth="1"/>
    <col min="11" max="21" width="11.5" style="156"/>
    <col min="22" max="22" width="35.6634615384615" style="156" customWidth="1"/>
    <col min="23" max="29" width="11.5" style="156"/>
    <col min="30" max="30" width="12.8365384615385" style="156" customWidth="1"/>
    <col min="31" max="16384" width="11.5" style="156"/>
  </cols>
  <sheetData>
    <row r="1" ht="21.75" customHeight="1" spans="10:12">
      <c r="J1" s="175"/>
      <c r="K1" s="175"/>
      <c r="L1" s="175"/>
    </row>
    <row r="2" ht="25.5" customHeight="1" spans="2:12">
      <c r="B2" s="49" t="s">
        <v>497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5" customHeight="1" spans="2:12">
      <c r="B3" s="51" t="s">
        <v>440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ht="15" customHeight="1" spans="2:12">
      <c r="B4" s="54" t="s">
        <v>2</v>
      </c>
      <c r="C4" s="213" t="s">
        <v>328</v>
      </c>
      <c r="D4" s="522"/>
      <c r="E4" s="522"/>
      <c r="F4" s="96"/>
      <c r="G4" s="96"/>
      <c r="H4" s="56"/>
      <c r="I4" s="56"/>
      <c r="J4" s="64"/>
      <c r="K4" s="64"/>
      <c r="L4" s="114"/>
    </row>
    <row r="5" ht="15" customHeight="1" spans="2:12">
      <c r="B5" s="54" t="s">
        <v>4</v>
      </c>
      <c r="C5" s="884" t="s">
        <v>354</v>
      </c>
      <c r="D5" s="522"/>
      <c r="E5" s="522"/>
      <c r="F5" s="96"/>
      <c r="G5" s="96"/>
      <c r="H5" s="56"/>
      <c r="I5" s="56"/>
      <c r="J5" s="64"/>
      <c r="K5" s="64"/>
      <c r="L5" s="114"/>
    </row>
    <row r="6" ht="15" customHeight="1" spans="2:12">
      <c r="B6" s="57" t="s">
        <v>6</v>
      </c>
      <c r="C6" s="213" t="s">
        <v>279</v>
      </c>
      <c r="D6" s="522"/>
      <c r="E6" s="522"/>
      <c r="F6" s="96"/>
      <c r="G6" s="96"/>
      <c r="H6" s="56"/>
      <c r="I6" s="56"/>
      <c r="J6" s="64"/>
      <c r="K6" s="64"/>
      <c r="L6" s="114"/>
    </row>
    <row r="7" ht="15" customHeight="1" spans="2:12">
      <c r="B7" s="54" t="s">
        <v>20</v>
      </c>
      <c r="C7" s="213" t="s">
        <v>369</v>
      </c>
      <c r="D7" s="522"/>
      <c r="E7" s="56"/>
      <c r="F7" s="56"/>
      <c r="G7" s="56"/>
      <c r="H7" s="56"/>
      <c r="I7" s="56"/>
      <c r="J7" s="64"/>
      <c r="K7" s="64"/>
      <c r="L7" s="114"/>
    </row>
    <row r="8" ht="15" customHeight="1" spans="2:12">
      <c r="B8" s="54" t="s">
        <v>107</v>
      </c>
      <c r="C8" s="213" t="s">
        <v>11</v>
      </c>
      <c r="D8" s="522"/>
      <c r="E8" s="56"/>
      <c r="F8" s="56"/>
      <c r="G8" s="56"/>
      <c r="H8" s="56"/>
      <c r="I8" s="56"/>
      <c r="J8" s="64"/>
      <c r="K8" s="64"/>
      <c r="L8" s="114"/>
    </row>
    <row r="9" ht="15" customHeight="1" spans="2:12">
      <c r="B9" s="57" t="s">
        <v>12</v>
      </c>
      <c r="C9" s="56" t="s">
        <v>13</v>
      </c>
      <c r="D9" s="522"/>
      <c r="E9" s="56"/>
      <c r="F9" s="56"/>
      <c r="G9" s="56"/>
      <c r="H9" s="56"/>
      <c r="I9" s="56"/>
      <c r="J9" s="64"/>
      <c r="K9" s="64"/>
      <c r="L9" s="114"/>
    </row>
    <row r="10" ht="15" customHeight="1" spans="2:12">
      <c r="B10" s="60" t="s">
        <v>232</v>
      </c>
      <c r="C10" s="56" t="s">
        <v>498</v>
      </c>
      <c r="D10" s="522"/>
      <c r="E10" s="56"/>
      <c r="F10" s="56"/>
      <c r="G10" s="56"/>
      <c r="H10" s="56"/>
      <c r="I10" s="56"/>
      <c r="J10" s="64"/>
      <c r="K10" s="64"/>
      <c r="L10" s="114"/>
    </row>
    <row r="11" ht="7" customHeight="1" spans="2:12">
      <c r="B11" s="57"/>
      <c r="C11" s="504"/>
      <c r="D11" s="504"/>
      <c r="E11" s="504"/>
      <c r="F11" s="504"/>
      <c r="G11" s="504"/>
      <c r="H11" s="504"/>
      <c r="I11" s="56"/>
      <c r="J11" s="62"/>
      <c r="K11" s="62"/>
      <c r="L11" s="114"/>
    </row>
    <row r="12" ht="15" customHeight="1" spans="2:12">
      <c r="B12" s="51" t="s">
        <v>19</v>
      </c>
      <c r="C12" s="64"/>
      <c r="D12" s="505"/>
      <c r="E12" s="505"/>
      <c r="F12" s="67"/>
      <c r="G12" s="67"/>
      <c r="H12" s="782"/>
      <c r="I12" s="784" t="s">
        <v>20</v>
      </c>
      <c r="J12" s="64"/>
      <c r="K12" s="64"/>
      <c r="L12" s="152"/>
    </row>
    <row r="13" ht="15" customHeight="1" spans="2:12">
      <c r="B13" s="66" t="s">
        <v>233</v>
      </c>
      <c r="C13" s="64"/>
      <c r="D13" s="67" t="s">
        <v>22</v>
      </c>
      <c r="E13" s="67" t="s">
        <v>23</v>
      </c>
      <c r="F13" s="296"/>
      <c r="G13" s="296"/>
      <c r="H13" s="97" t="s">
        <v>24</v>
      </c>
      <c r="I13" s="64"/>
      <c r="J13" s="64"/>
      <c r="K13" s="56" t="s">
        <v>25</v>
      </c>
      <c r="L13" s="114"/>
    </row>
    <row r="14" ht="15" customHeight="1" spans="2:12">
      <c r="B14" s="778" t="s">
        <v>26</v>
      </c>
      <c r="C14" s="64"/>
      <c r="D14" s="78">
        <v>1</v>
      </c>
      <c r="E14" s="78">
        <v>1</v>
      </c>
      <c r="F14" s="296"/>
      <c r="G14" s="296"/>
      <c r="H14" s="97"/>
      <c r="I14" s="64"/>
      <c r="J14" s="64"/>
      <c r="K14" s="56"/>
      <c r="L14" s="114"/>
    </row>
    <row r="15" ht="15" customHeight="1" spans="2:12">
      <c r="B15" s="66" t="s">
        <v>54</v>
      </c>
      <c r="C15" s="64" t="s">
        <v>55</v>
      </c>
      <c r="D15" s="69">
        <v>1650</v>
      </c>
      <c r="E15" s="69">
        <v>2250</v>
      </c>
      <c r="F15" s="69"/>
      <c r="G15" s="69"/>
      <c r="H15" s="98"/>
      <c r="I15" s="64" t="s">
        <v>248</v>
      </c>
      <c r="J15" s="64"/>
      <c r="K15" s="161">
        <v>6762</v>
      </c>
      <c r="L15" s="114" t="s">
        <v>28</v>
      </c>
    </row>
    <row r="16" ht="15" customHeight="1" spans="2:12">
      <c r="B16" s="66" t="s">
        <v>234</v>
      </c>
      <c r="C16" s="64" t="s">
        <v>55</v>
      </c>
      <c r="D16" s="69">
        <v>1526</v>
      </c>
      <c r="E16" s="69">
        <v>2078</v>
      </c>
      <c r="F16" s="64"/>
      <c r="G16" s="69"/>
      <c r="H16" s="98">
        <f>SUM(D16:E16)</f>
        <v>3604</v>
      </c>
      <c r="I16" s="64" t="s">
        <v>249</v>
      </c>
      <c r="J16" s="64"/>
      <c r="K16" s="162">
        <v>19</v>
      </c>
      <c r="L16" s="114" t="s">
        <v>56</v>
      </c>
    </row>
    <row r="17" ht="15" customHeight="1" spans="2:12">
      <c r="B17" s="57" t="s">
        <v>61</v>
      </c>
      <c r="C17" s="56"/>
      <c r="D17" s="70" t="s">
        <v>63</v>
      </c>
      <c r="E17" s="70" t="s">
        <v>63</v>
      </c>
      <c r="F17" s="64"/>
      <c r="G17" s="70"/>
      <c r="H17" s="98"/>
      <c r="I17" s="56" t="s">
        <v>371</v>
      </c>
      <c r="J17" s="56"/>
      <c r="K17" s="163">
        <f>100*0.38</f>
        <v>38</v>
      </c>
      <c r="L17" s="118" t="s">
        <v>59</v>
      </c>
    </row>
    <row r="18" ht="15" customHeight="1" spans="2:12">
      <c r="B18" s="57" t="s">
        <v>66</v>
      </c>
      <c r="C18" s="56" t="s">
        <v>55</v>
      </c>
      <c r="D18" s="70">
        <v>650</v>
      </c>
      <c r="E18" s="70">
        <v>800</v>
      </c>
      <c r="F18" s="64"/>
      <c r="G18" s="71"/>
      <c r="H18" s="98">
        <v>1450</v>
      </c>
      <c r="I18" s="56" t="s">
        <v>499</v>
      </c>
      <c r="J18" s="56"/>
      <c r="K18" s="164">
        <f>100*0.31</f>
        <v>31</v>
      </c>
      <c r="L18" s="118" t="s">
        <v>59</v>
      </c>
    </row>
    <row r="19" ht="15" customHeight="1" spans="2:12">
      <c r="B19" s="57"/>
      <c r="C19" s="56"/>
      <c r="D19" s="70"/>
      <c r="E19" s="70"/>
      <c r="F19" s="64"/>
      <c r="G19" s="71"/>
      <c r="H19" s="98"/>
      <c r="I19" s="56" t="s">
        <v>155</v>
      </c>
      <c r="J19" s="56"/>
      <c r="K19" s="164">
        <f>100*'[30]Tabellen für Auwertung'!G50+'[30]Tabellen für Auwertung'!H50</f>
        <v>18.8285787388357</v>
      </c>
      <c r="L19" s="118" t="s">
        <v>59</v>
      </c>
    </row>
    <row r="20" ht="15" customHeight="1" spans="2:12">
      <c r="B20" s="779"/>
      <c r="C20" s="509"/>
      <c r="D20" s="99"/>
      <c r="E20" s="99"/>
      <c r="F20" s="99"/>
      <c r="G20" s="99"/>
      <c r="H20" s="109"/>
      <c r="I20" s="56" t="s">
        <v>291</v>
      </c>
      <c r="J20" s="56"/>
      <c r="K20" s="164">
        <f>100*0.08</f>
        <v>8</v>
      </c>
      <c r="L20" s="118" t="s">
        <v>59</v>
      </c>
    </row>
    <row r="21" ht="15" customHeight="1" spans="2:14">
      <c r="B21" s="735" t="s">
        <v>69</v>
      </c>
      <c r="C21" s="56"/>
      <c r="D21" s="70"/>
      <c r="E21" s="70"/>
      <c r="F21" s="70"/>
      <c r="G21" s="70"/>
      <c r="H21" s="100"/>
      <c r="I21" s="56" t="s">
        <v>372</v>
      </c>
      <c r="J21" s="56"/>
      <c r="K21" s="164">
        <f>100*0.03</f>
        <v>3</v>
      </c>
      <c r="L21" s="118" t="s">
        <v>59</v>
      </c>
      <c r="N21" s="183"/>
    </row>
    <row r="22" ht="15" customHeight="1" spans="2:12">
      <c r="B22" s="66" t="s">
        <v>71</v>
      </c>
      <c r="C22" s="64" t="s">
        <v>59</v>
      </c>
      <c r="D22" s="75">
        <f>[30]Auswertung!L182</f>
        <v>7.5003799934934</v>
      </c>
      <c r="E22" s="75"/>
      <c r="F22" s="78"/>
      <c r="G22" s="78"/>
      <c r="H22" s="102"/>
      <c r="I22" s="56" t="s">
        <v>157</v>
      </c>
      <c r="J22" s="64"/>
      <c r="K22" s="164">
        <f>100*0.01</f>
        <v>1</v>
      </c>
      <c r="L22" s="118" t="s">
        <v>59</v>
      </c>
    </row>
    <row r="23" ht="15" customHeight="1" spans="2:14">
      <c r="B23" s="66" t="s">
        <v>73</v>
      </c>
      <c r="C23" s="64" t="s">
        <v>59</v>
      </c>
      <c r="D23" s="75">
        <v>75.5</v>
      </c>
      <c r="E23" s="75"/>
      <c r="F23" s="78"/>
      <c r="G23" s="78"/>
      <c r="H23" s="78"/>
      <c r="I23" s="66"/>
      <c r="J23" s="64"/>
      <c r="K23" s="537"/>
      <c r="L23" s="114"/>
      <c r="N23" s="156">
        <f>K25*100</f>
        <v>2335.15252988997</v>
      </c>
    </row>
    <row r="24" ht="15" customHeight="1" spans="2:14">
      <c r="B24" s="780" t="s">
        <v>74</v>
      </c>
      <c r="C24" s="76" t="s">
        <v>75</v>
      </c>
      <c r="D24" s="75"/>
      <c r="E24" s="75"/>
      <c r="F24" s="64"/>
      <c r="G24" s="299"/>
      <c r="H24" s="103" t="s">
        <v>338</v>
      </c>
      <c r="I24" s="534" t="s">
        <v>76</v>
      </c>
      <c r="J24" s="56"/>
      <c r="K24" s="537"/>
      <c r="L24" s="114"/>
      <c r="N24" s="156">
        <f>K26*100</f>
        <v>9277.73323352851</v>
      </c>
    </row>
    <row r="25" ht="15" customHeight="1" spans="2:14">
      <c r="B25" s="57" t="s">
        <v>78</v>
      </c>
      <c r="C25" s="56" t="s">
        <v>79</v>
      </c>
      <c r="D25" s="77"/>
      <c r="E25" s="77"/>
      <c r="F25" s="64"/>
      <c r="G25" s="70"/>
      <c r="H25" s="104" t="s">
        <v>500</v>
      </c>
      <c r="I25" s="127" t="s">
        <v>445</v>
      </c>
      <c r="J25" s="56"/>
      <c r="K25" s="163">
        <f>'[30]Tabellen für Auwertung'!J84</f>
        <v>23.3515252988997</v>
      </c>
      <c r="L25" s="118" t="s">
        <v>59</v>
      </c>
      <c r="N25" s="156">
        <f>K27*100</f>
        <v>7107.0215183247</v>
      </c>
    </row>
    <row r="26" ht="15" customHeight="1" spans="2:12">
      <c r="B26" s="57" t="s">
        <v>448</v>
      </c>
      <c r="C26" s="56" t="s">
        <v>59</v>
      </c>
      <c r="D26" s="78"/>
      <c r="E26" s="78"/>
      <c r="F26" s="70"/>
      <c r="G26" s="70"/>
      <c r="H26" s="174" t="s">
        <v>427</v>
      </c>
      <c r="I26" s="128" t="s">
        <v>446</v>
      </c>
      <c r="J26" s="56"/>
      <c r="K26" s="163">
        <f>'[30]Tabellen für Auwertung'!J101</f>
        <v>92.7773323352851</v>
      </c>
      <c r="L26" s="118" t="s">
        <v>59</v>
      </c>
    </row>
    <row r="27" ht="15" customHeight="1" spans="2:12">
      <c r="B27" s="57" t="s">
        <v>84</v>
      </c>
      <c r="C27" s="56" t="s">
        <v>59</v>
      </c>
      <c r="D27" s="78"/>
      <c r="E27" s="78"/>
      <c r="F27" s="70"/>
      <c r="G27" s="70"/>
      <c r="H27" s="102" t="s">
        <v>297</v>
      </c>
      <c r="I27" s="57" t="s">
        <v>447</v>
      </c>
      <c r="J27" s="56"/>
      <c r="K27" s="163">
        <f>'[30]Tabellen für Auwertung'!J118</f>
        <v>71.070215183247</v>
      </c>
      <c r="L27" s="118" t="s">
        <v>59</v>
      </c>
    </row>
    <row r="28" ht="15" customHeight="1" spans="2:12">
      <c r="B28" s="57" t="s">
        <v>87</v>
      </c>
      <c r="C28" s="56" t="s">
        <v>88</v>
      </c>
      <c r="D28" s="78"/>
      <c r="E28" s="78"/>
      <c r="F28" s="70"/>
      <c r="G28" s="70"/>
      <c r="H28" s="103" t="s">
        <v>501</v>
      </c>
      <c r="I28" s="81"/>
      <c r="J28" s="94"/>
      <c r="K28" s="536"/>
      <c r="L28" s="115"/>
    </row>
    <row r="29" ht="15" customHeight="1" spans="2:12">
      <c r="B29" s="57" t="s">
        <v>90</v>
      </c>
      <c r="C29" s="56" t="s">
        <v>91</v>
      </c>
      <c r="D29" s="78"/>
      <c r="E29" s="78"/>
      <c r="F29" s="70"/>
      <c r="G29" s="70"/>
      <c r="H29" s="103" t="s">
        <v>298</v>
      </c>
      <c r="I29" s="63" t="s">
        <v>93</v>
      </c>
      <c r="J29" s="133"/>
      <c r="K29" s="537"/>
      <c r="L29" s="152"/>
    </row>
    <row r="30" ht="15" customHeight="1" spans="2:12">
      <c r="B30" s="57" t="s">
        <v>32</v>
      </c>
      <c r="C30" s="56" t="s">
        <v>62</v>
      </c>
      <c r="D30" s="75">
        <f>[30]Auswertung!N230</f>
        <v>7.72727272727273</v>
      </c>
      <c r="E30" s="75"/>
      <c r="F30" s="78"/>
      <c r="G30" s="78"/>
      <c r="H30" s="102"/>
      <c r="I30" s="66" t="s">
        <v>449</v>
      </c>
      <c r="J30" s="64"/>
      <c r="K30" s="537">
        <v>1</v>
      </c>
      <c r="L30" s="114"/>
    </row>
    <row r="31" ht="15" customHeight="1" spans="2:15">
      <c r="B31" s="57" t="s">
        <v>94</v>
      </c>
      <c r="C31" s="56" t="s">
        <v>95</v>
      </c>
      <c r="D31" s="299">
        <f>AVERAGE('[30]Jahr fortlaufend'!R6:R370)</f>
        <v>40.1209386281589</v>
      </c>
      <c r="E31" s="299">
        <f>AVERAGE('[30]Jahr fortlaufend'!S6:S370)</f>
        <v>39.2490974729243</v>
      </c>
      <c r="F31" s="70"/>
      <c r="G31" s="70"/>
      <c r="H31" s="100"/>
      <c r="I31" s="66" t="s">
        <v>96</v>
      </c>
      <c r="J31" s="92"/>
      <c r="K31" s="161">
        <v>0</v>
      </c>
      <c r="L31" s="114" t="s">
        <v>55</v>
      </c>
      <c r="N31" s="541">
        <f>+N32*7.03/100</f>
        <v>1.85757633507007</v>
      </c>
      <c r="O31" s="156" t="s">
        <v>450</v>
      </c>
    </row>
    <row r="32" ht="15" customHeight="1" spans="2:15">
      <c r="B32" s="66" t="s">
        <v>97</v>
      </c>
      <c r="C32" s="64" t="s">
        <v>98</v>
      </c>
      <c r="D32" s="75">
        <f>[30]Auswertung!L230/1000</f>
        <v>1.94545454545455</v>
      </c>
      <c r="E32" s="75"/>
      <c r="F32" s="78"/>
      <c r="G32" s="78"/>
      <c r="H32" s="78"/>
      <c r="I32" s="66" t="s">
        <v>99</v>
      </c>
      <c r="J32" s="64"/>
      <c r="K32" s="161">
        <v>2650</v>
      </c>
      <c r="L32" s="114" t="s">
        <v>55</v>
      </c>
      <c r="N32" s="541">
        <f>+N33*74.33/100</f>
        <v>26.423560954055</v>
      </c>
      <c r="O32" s="156" t="s">
        <v>451</v>
      </c>
    </row>
    <row r="33" ht="15" customHeight="1" spans="2:15">
      <c r="B33" s="66" t="s">
        <v>100</v>
      </c>
      <c r="C33" s="64" t="s">
        <v>98</v>
      </c>
      <c r="D33" s="75">
        <f>[30]Auswertung!M230/1000</f>
        <v>5.22133333333333</v>
      </c>
      <c r="E33" s="75"/>
      <c r="F33" s="78"/>
      <c r="G33" s="78"/>
      <c r="H33" s="78"/>
      <c r="I33" s="66" t="s">
        <v>453</v>
      </c>
      <c r="J33" s="64"/>
      <c r="K33" s="162">
        <v>1.3</v>
      </c>
      <c r="L33" s="114" t="s">
        <v>59</v>
      </c>
      <c r="N33" s="541">
        <f>N34*1000</f>
        <v>35.5489855429235</v>
      </c>
      <c r="O33" s="156" t="s">
        <v>452</v>
      </c>
    </row>
    <row r="34" ht="15" customHeight="1" spans="2:15">
      <c r="B34" s="66" t="s">
        <v>455</v>
      </c>
      <c r="C34" s="64" t="s">
        <v>102</v>
      </c>
      <c r="D34" s="77">
        <v>106</v>
      </c>
      <c r="E34" s="78"/>
      <c r="F34" s="78"/>
      <c r="G34" s="78"/>
      <c r="H34" s="78"/>
      <c r="I34" s="66" t="s">
        <v>105</v>
      </c>
      <c r="J34" s="64"/>
      <c r="K34" s="162">
        <v>3.07</v>
      </c>
      <c r="L34" s="114" t="s">
        <v>59</v>
      </c>
      <c r="N34" s="541">
        <f>N35*0.001</f>
        <v>0.0355489855429235</v>
      </c>
      <c r="O34" s="156" t="s">
        <v>454</v>
      </c>
    </row>
    <row r="35" ht="15" customHeight="1" spans="2:15">
      <c r="B35" s="66" t="s">
        <v>104</v>
      </c>
      <c r="C35" s="64" t="s">
        <v>62</v>
      </c>
      <c r="D35" s="80">
        <f>[30]Auswertung!O208</f>
        <v>0.137482295071838</v>
      </c>
      <c r="E35" s="783"/>
      <c r="F35" s="78"/>
      <c r="G35" s="78"/>
      <c r="H35" s="528"/>
      <c r="I35" s="66" t="s">
        <v>106</v>
      </c>
      <c r="J35" s="64"/>
      <c r="K35" s="162">
        <v>71.48</v>
      </c>
      <c r="L35" s="114" t="s">
        <v>59</v>
      </c>
      <c r="N35" s="541">
        <v>35.5489855429235</v>
      </c>
      <c r="O35" s="156" t="s">
        <v>456</v>
      </c>
    </row>
    <row r="36" ht="15" customHeight="1" spans="2:12">
      <c r="B36" s="781"/>
      <c r="C36" s="513"/>
      <c r="D36" s="99"/>
      <c r="E36" s="99"/>
      <c r="F36" s="99"/>
      <c r="G36" s="99"/>
      <c r="H36" s="529"/>
      <c r="I36" s="64"/>
      <c r="J36" s="64"/>
      <c r="K36" s="78"/>
      <c r="L36" s="114"/>
    </row>
    <row r="37" ht="15" customHeight="1" spans="2:12">
      <c r="B37" s="63" t="s">
        <v>107</v>
      </c>
      <c r="C37" s="117"/>
      <c r="D37" s="67"/>
      <c r="E37" s="67"/>
      <c r="F37" s="67"/>
      <c r="G37" s="67"/>
      <c r="H37" s="67"/>
      <c r="I37" s="51" t="s">
        <v>108</v>
      </c>
      <c r="J37" s="140"/>
      <c r="K37" s="140"/>
      <c r="L37" s="152"/>
    </row>
    <row r="38" ht="15" customHeight="1" spans="2:12">
      <c r="B38" s="66"/>
      <c r="C38" s="64"/>
      <c r="D38" s="64"/>
      <c r="E38" s="64"/>
      <c r="F38" s="64"/>
      <c r="G38" s="67"/>
      <c r="H38" s="97"/>
      <c r="I38" s="66"/>
      <c r="J38" s="64" t="s">
        <v>109</v>
      </c>
      <c r="K38" s="64" t="s">
        <v>239</v>
      </c>
      <c r="L38" s="114"/>
    </row>
    <row r="39" ht="15" customHeight="1" spans="2:12">
      <c r="B39" s="85"/>
      <c r="C39" s="64"/>
      <c r="D39" s="64"/>
      <c r="E39" s="64"/>
      <c r="F39" s="64"/>
      <c r="G39" s="78"/>
      <c r="H39" s="102"/>
      <c r="I39" s="125" t="s">
        <v>112</v>
      </c>
      <c r="J39" s="64"/>
      <c r="K39" s="64"/>
      <c r="L39" s="114"/>
    </row>
    <row r="40" ht="15" customHeight="1" spans="2:12">
      <c r="B40" s="66"/>
      <c r="C40" s="64"/>
      <c r="D40" s="64"/>
      <c r="E40" s="64"/>
      <c r="F40" s="64"/>
      <c r="G40" s="78"/>
      <c r="H40" s="102"/>
      <c r="I40" s="66"/>
      <c r="J40" s="64" t="s">
        <v>113</v>
      </c>
      <c r="K40" s="172" t="s">
        <v>114</v>
      </c>
      <c r="L40" s="103">
        <f>AVERAGE('[30]Finales Datenblatt'!AD5:AD369)</f>
        <v>50.8246212121212</v>
      </c>
    </row>
    <row r="41" ht="15" customHeight="1" spans="2:12">
      <c r="B41" s="66"/>
      <c r="C41" s="64"/>
      <c r="D41" s="67" t="s">
        <v>115</v>
      </c>
      <c r="E41" s="67"/>
      <c r="F41" s="67"/>
      <c r="G41" s="78"/>
      <c r="H41" s="102"/>
      <c r="I41" s="66"/>
      <c r="J41" s="64" t="s">
        <v>113</v>
      </c>
      <c r="K41" s="78" t="s">
        <v>116</v>
      </c>
      <c r="L41" s="885" t="s">
        <v>117</v>
      </c>
    </row>
    <row r="42" ht="15" customHeight="1" spans="2:12">
      <c r="B42" s="66" t="s">
        <v>118</v>
      </c>
      <c r="C42" s="64"/>
      <c r="D42" s="78" t="s">
        <v>301</v>
      </c>
      <c r="E42" s="78"/>
      <c r="F42" s="78"/>
      <c r="G42" s="78"/>
      <c r="H42" s="102"/>
      <c r="I42" s="66"/>
      <c r="J42" s="64" t="s">
        <v>113</v>
      </c>
      <c r="K42" s="78" t="s">
        <v>120</v>
      </c>
      <c r="L42" s="103">
        <f>AVERAGE('[30]Finales Datenblatt'!AF5:AF369)</f>
        <v>0.560227272727273</v>
      </c>
    </row>
    <row r="43" ht="15" customHeight="1" spans="2:12">
      <c r="B43" s="66" t="s">
        <v>121</v>
      </c>
      <c r="C43" s="64" t="s">
        <v>122</v>
      </c>
      <c r="D43" s="77">
        <v>265</v>
      </c>
      <c r="E43" s="77"/>
      <c r="F43" s="77"/>
      <c r="G43" s="77"/>
      <c r="H43" s="102"/>
      <c r="I43" s="66"/>
      <c r="J43" s="64" t="s">
        <v>123</v>
      </c>
      <c r="K43" s="172" t="s">
        <v>124</v>
      </c>
      <c r="L43" s="174">
        <f>AVERAGE('[30]Finales Datenblatt'!AH5:AH369)</f>
        <v>5.59469696969697</v>
      </c>
    </row>
    <row r="44" ht="15" customHeight="1" spans="2:15">
      <c r="B44" s="66" t="s">
        <v>125</v>
      </c>
      <c r="C44" s="64" t="s">
        <v>122</v>
      </c>
      <c r="D44" s="77">
        <f>D43/D45*D46</f>
        <v>191.702127659574</v>
      </c>
      <c r="E44" s="77"/>
      <c r="F44" s="77"/>
      <c r="G44" s="77"/>
      <c r="H44" s="102"/>
      <c r="I44" s="148" t="s">
        <v>126</v>
      </c>
      <c r="J44" s="64"/>
      <c r="K44" s="64"/>
      <c r="L44" s="114"/>
      <c r="O44" s="156" t="s">
        <v>458</v>
      </c>
    </row>
    <row r="45" ht="15" customHeight="1" spans="2:16">
      <c r="B45" s="66" t="s">
        <v>127</v>
      </c>
      <c r="C45" s="64" t="s">
        <v>59</v>
      </c>
      <c r="D45" s="78">
        <v>47</v>
      </c>
      <c r="E45" s="78"/>
      <c r="F45" s="78"/>
      <c r="G45" s="78"/>
      <c r="H45" s="102"/>
      <c r="I45" s="64"/>
      <c r="J45" s="64"/>
      <c r="K45" s="78" t="s">
        <v>128</v>
      </c>
      <c r="L45" s="102" t="s">
        <v>129</v>
      </c>
      <c r="O45" s="182">
        <f>[30]Auswertung!Q157</f>
        <v>833573.981157425</v>
      </c>
      <c r="P45" s="182" t="s">
        <v>502</v>
      </c>
    </row>
    <row r="46" ht="15" customHeight="1" spans="2:16">
      <c r="B46" s="66" t="s">
        <v>130</v>
      </c>
      <c r="C46" s="64" t="s">
        <v>59</v>
      </c>
      <c r="D46" s="78">
        <v>34</v>
      </c>
      <c r="E46" s="78"/>
      <c r="F46" s="78"/>
      <c r="G46" s="78"/>
      <c r="H46" s="102"/>
      <c r="I46" s="66"/>
      <c r="J46" s="64" t="s">
        <v>131</v>
      </c>
      <c r="K46" s="77">
        <f>O45/O46</f>
        <v>123.281857975551</v>
      </c>
      <c r="L46" s="174">
        <f>K46*L40/100</f>
        <v>62.6575373393389</v>
      </c>
      <c r="O46" s="156">
        <f>'[30]Tabellen für Auwertung'!K16</f>
        <v>6761.53</v>
      </c>
      <c r="P46" s="156" t="s">
        <v>459</v>
      </c>
    </row>
    <row r="47" ht="15" customHeight="1" spans="2:12">
      <c r="B47" s="66" t="s">
        <v>503</v>
      </c>
      <c r="C47" s="64" t="s">
        <v>59</v>
      </c>
      <c r="D47" s="75">
        <f>'[30]Tabellen für Auwertung'!Q16*100</f>
        <v>3.21080290954651</v>
      </c>
      <c r="E47" s="78"/>
      <c r="F47" s="78"/>
      <c r="G47" s="78"/>
      <c r="H47" s="102"/>
      <c r="I47" s="66"/>
      <c r="J47" s="64" t="s">
        <v>134</v>
      </c>
      <c r="K47" s="77">
        <f>K46/(K25*K26)*10000</f>
        <v>569.039005337037</v>
      </c>
      <c r="L47" s="174">
        <f>L46/(K25*K26)*10000</f>
        <v>289.211919011771</v>
      </c>
    </row>
    <row r="48" ht="15" customHeight="1" spans="2:15">
      <c r="B48" s="66" t="s">
        <v>504</v>
      </c>
      <c r="C48" s="64" t="s">
        <v>505</v>
      </c>
      <c r="D48" s="75">
        <f>'[30]Tabellen für Auwertung'!R16</f>
        <v>68.7420332355816</v>
      </c>
      <c r="E48" s="69"/>
      <c r="F48" s="69"/>
      <c r="G48" s="78"/>
      <c r="H48" s="102"/>
      <c r="I48" s="148" t="s">
        <v>137</v>
      </c>
      <c r="J48" s="64"/>
      <c r="K48" s="64"/>
      <c r="L48" s="114"/>
      <c r="O48" s="156" t="s">
        <v>460</v>
      </c>
    </row>
    <row r="49" ht="15" customHeight="1" spans="2:16">
      <c r="B49" s="66" t="s">
        <v>132</v>
      </c>
      <c r="C49" s="64" t="s">
        <v>62</v>
      </c>
      <c r="D49" s="78" t="s">
        <v>133</v>
      </c>
      <c r="E49" s="69"/>
      <c r="F49" s="69"/>
      <c r="G49" s="69"/>
      <c r="H49" s="98"/>
      <c r="I49" s="66"/>
      <c r="J49" s="64" t="s">
        <v>139</v>
      </c>
      <c r="K49" s="69">
        <f>O49/365</f>
        <v>4027.77808219178</v>
      </c>
      <c r="L49" s="98"/>
      <c r="O49" s="182">
        <f>'[30]Tabellen für Auwertung'!P50</f>
        <v>1470139</v>
      </c>
      <c r="P49" s="156" t="s">
        <v>461</v>
      </c>
    </row>
    <row r="50" ht="15" customHeight="1" spans="2:12">
      <c r="B50" s="66" t="s">
        <v>135</v>
      </c>
      <c r="C50" s="64" t="s">
        <v>240</v>
      </c>
      <c r="D50" s="877" t="s">
        <v>117</v>
      </c>
      <c r="E50" s="75"/>
      <c r="F50" s="75"/>
      <c r="G50" s="69"/>
      <c r="H50" s="98"/>
      <c r="I50" s="66"/>
      <c r="J50" s="64" t="s">
        <v>141</v>
      </c>
      <c r="K50" s="69">
        <f>O49/O46</f>
        <v>217.426972889272</v>
      </c>
      <c r="L50" s="114"/>
    </row>
    <row r="51" ht="15" customHeight="1" spans="2:15">
      <c r="B51" s="66" t="s">
        <v>138</v>
      </c>
      <c r="C51" s="64" t="s">
        <v>240</v>
      </c>
      <c r="D51" s="69">
        <f>O52/D43</f>
        <v>7641.25071698113</v>
      </c>
      <c r="E51" s="64"/>
      <c r="F51" s="64"/>
      <c r="G51" s="78" t="s">
        <v>77</v>
      </c>
      <c r="H51" s="102"/>
      <c r="I51" s="65"/>
      <c r="J51" s="64"/>
      <c r="K51" s="64"/>
      <c r="L51" s="114"/>
      <c r="O51" s="156" t="s">
        <v>462</v>
      </c>
    </row>
    <row r="52" ht="15" customHeight="1" spans="2:18">
      <c r="B52" s="66" t="s">
        <v>140</v>
      </c>
      <c r="C52" s="64" t="s">
        <v>59</v>
      </c>
      <c r="D52" s="77">
        <f>O52/(D43*8760)*100</f>
        <v>87.2288894632549</v>
      </c>
      <c r="E52" s="64"/>
      <c r="F52" s="64"/>
      <c r="G52" s="78"/>
      <c r="H52" s="102"/>
      <c r="I52" s="65"/>
      <c r="J52" s="64"/>
      <c r="K52" s="78"/>
      <c r="L52" s="114"/>
      <c r="O52" s="182">
        <f>'[30]Tabellen für Auwertung'!P67</f>
        <v>2024931.44</v>
      </c>
      <c r="P52" s="182"/>
      <c r="Q52" s="182"/>
      <c r="R52" s="156" t="s">
        <v>463</v>
      </c>
    </row>
    <row r="53" ht="15" customHeight="1" spans="2:12">
      <c r="B53" s="66"/>
      <c r="C53" s="64"/>
      <c r="D53" s="64"/>
      <c r="E53" s="64"/>
      <c r="F53" s="64"/>
      <c r="G53" s="78"/>
      <c r="H53" s="102"/>
      <c r="I53" s="65"/>
      <c r="J53" s="64"/>
      <c r="K53" s="78"/>
      <c r="L53" s="114"/>
    </row>
    <row r="54" ht="15" customHeight="1" spans="2:12">
      <c r="B54" s="88" t="s">
        <v>142</v>
      </c>
      <c r="C54" s="94"/>
      <c r="D54" s="94"/>
      <c r="E54" s="94"/>
      <c r="F54" s="94"/>
      <c r="G54" s="99"/>
      <c r="H54" s="109"/>
      <c r="I54" s="66"/>
      <c r="J54" s="64"/>
      <c r="K54" s="78"/>
      <c r="L54" s="114"/>
    </row>
    <row r="55" ht="15" customHeight="1" spans="2:12">
      <c r="B55" s="90" t="s">
        <v>143</v>
      </c>
      <c r="C55" s="65"/>
      <c r="D55" s="64"/>
      <c r="E55" s="64"/>
      <c r="F55" s="64"/>
      <c r="G55" s="110" t="s">
        <v>144</v>
      </c>
      <c r="H55" s="530"/>
      <c r="I55" s="140"/>
      <c r="J55" s="140"/>
      <c r="K55" s="140"/>
      <c r="L55" s="152"/>
    </row>
    <row r="56" ht="15" customHeight="1" spans="2:12">
      <c r="B56" s="66"/>
      <c r="C56" s="78"/>
      <c r="D56" s="92"/>
      <c r="E56" s="92"/>
      <c r="F56" s="64"/>
      <c r="G56" s="64"/>
      <c r="H56" s="64"/>
      <c r="I56" s="78" t="s">
        <v>145</v>
      </c>
      <c r="J56" s="78"/>
      <c r="K56" s="78"/>
      <c r="L56" s="114"/>
    </row>
    <row r="57" ht="15" customHeight="1" spans="2:12">
      <c r="B57" s="66" t="s">
        <v>506</v>
      </c>
      <c r="C57" s="78"/>
      <c r="D57" s="78"/>
      <c r="E57" s="78"/>
      <c r="F57" s="78"/>
      <c r="G57" s="91" t="s">
        <v>507</v>
      </c>
      <c r="H57" s="78"/>
      <c r="I57" s="69">
        <f>'[30]Tabellen für Auwertung'!O135</f>
        <v>637889</v>
      </c>
      <c r="J57" s="78"/>
      <c r="K57" s="78"/>
      <c r="L57" s="114"/>
    </row>
    <row r="58" ht="15" customHeight="1" spans="2:15">
      <c r="B58" s="81"/>
      <c r="C58" s="94"/>
      <c r="D58" s="94"/>
      <c r="E58" s="94"/>
      <c r="F58" s="94"/>
      <c r="G58" s="94"/>
      <c r="H58" s="94"/>
      <c r="I58" s="94"/>
      <c r="J58" s="94"/>
      <c r="K58" s="94"/>
      <c r="L58" s="115"/>
      <c r="O58" s="183">
        <f>'[30]Tabellen für Auwertung'!O118</f>
        <v>781888.000000001</v>
      </c>
    </row>
    <row r="59" ht="15" customHeight="1" spans="2:10">
      <c r="B59"/>
      <c r="C59"/>
      <c r="D59"/>
      <c r="E59"/>
      <c r="F59"/>
      <c r="G59"/>
      <c r="H59"/>
      <c r="I59"/>
      <c r="J59"/>
    </row>
    <row r="60" ht="15" customHeight="1" spans="2:10">
      <c r="B60" t="s">
        <v>77</v>
      </c>
      <c r="C60"/>
      <c r="D60"/>
      <c r="E60"/>
      <c r="F60"/>
      <c r="G60"/>
      <c r="H60"/>
      <c r="I60"/>
      <c r="J60"/>
    </row>
    <row r="61" ht="15" customHeight="1" spans="2:10">
      <c r="B61"/>
      <c r="C61"/>
      <c r="D61"/>
      <c r="E61"/>
      <c r="F61"/>
      <c r="G61"/>
      <c r="H61"/>
      <c r="I61"/>
      <c r="J61"/>
    </row>
    <row r="62" ht="15" customHeight="1" spans="2:11">
      <c r="B62"/>
      <c r="C62"/>
      <c r="D62" t="s">
        <v>77</v>
      </c>
      <c r="E62"/>
      <c r="F62"/>
      <c r="G62"/>
      <c r="H62"/>
      <c r="I62"/>
      <c r="J62"/>
      <c r="K62" s="156" t="s">
        <v>77</v>
      </c>
    </row>
    <row r="65" ht="16.8" spans="6:6">
      <c r="F65"/>
    </row>
    <row r="66" ht="16.8" spans="6:6">
      <c r="F66"/>
    </row>
  </sheetData>
  <mergeCells count="1">
    <mergeCell ref="B2:L2"/>
  </mergeCells>
  <pageMargins left="0.7" right="0.7" top="0.787401575" bottom="0.787401575" header="0.3" footer="0.3"/>
  <headerFooter/>
  <ignoredErrors>
    <ignoredError sqref="C5" numberStoredAsText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M60"/>
  <sheetViews>
    <sheetView zoomScale="85" zoomScaleNormal="85" workbookViewId="0">
      <selection activeCell="A1" sqref="A1"/>
    </sheetView>
  </sheetViews>
  <sheetFormatPr defaultColWidth="11.5" defaultRowHeight="16.8"/>
  <cols>
    <col min="1" max="1" width="14.3365384615385" customWidth="1"/>
    <col min="6" max="6" width="15.3365384615385" customWidth="1"/>
    <col min="7" max="7" width="14.5" customWidth="1"/>
  </cols>
  <sheetData>
    <row r="1" spans="1:12">
      <c r="A1" t="s">
        <v>154</v>
      </c>
      <c r="B1" t="e">
        <f>[30]!Tabelle1183436[[#Headers],[Schweinemist]]</f>
        <v>#REF!</v>
      </c>
      <c r="C1" t="s">
        <v>508</v>
      </c>
      <c r="D1" t="s">
        <v>58</v>
      </c>
      <c r="E1" t="s">
        <v>372</v>
      </c>
      <c r="F1" s="544" t="s">
        <v>155</v>
      </c>
      <c r="G1" t="s">
        <v>157</v>
      </c>
      <c r="H1" t="s">
        <v>473</v>
      </c>
      <c r="I1" t="s">
        <v>384</v>
      </c>
      <c r="J1" t="s">
        <v>385</v>
      </c>
      <c r="L1" t="s">
        <v>386</v>
      </c>
    </row>
    <row r="2" spans="1:10">
      <c r="A2" s="228"/>
      <c r="B2" s="228" t="s">
        <v>59</v>
      </c>
      <c r="C2" s="228" t="s">
        <v>59</v>
      </c>
      <c r="D2" s="228" t="s">
        <v>59</v>
      </c>
      <c r="E2" s="228" t="s">
        <v>59</v>
      </c>
      <c r="F2" s="228" t="s">
        <v>59</v>
      </c>
      <c r="G2" s="228" t="s">
        <v>59</v>
      </c>
      <c r="H2" s="228" t="s">
        <v>59</v>
      </c>
      <c r="I2" s="228"/>
      <c r="J2" s="228" t="s">
        <v>56</v>
      </c>
    </row>
    <row r="3" spans="1:12">
      <c r="A3" s="245">
        <f>'[30]Tabellen für Auwertung'!A38</f>
        <v>42675</v>
      </c>
      <c r="B3" s="191">
        <f>'[30]Tabellen für Auwertung'!D38*100</f>
        <v>1.1092023460088</v>
      </c>
      <c r="C3" s="191">
        <f>'[30]Tabellen für Auwertung'!C38*100</f>
        <v>44.5147652249481</v>
      </c>
      <c r="D3" s="191">
        <f>'[30]Tabellen für Auwertung'!B38*100</f>
        <v>50.759666102593</v>
      </c>
      <c r="E3" s="191">
        <f>'[30]Tabellen für Auwertung'!F38*100</f>
        <v>3.47611181493005</v>
      </c>
      <c r="F3" s="191">
        <f>'[30]Tabellen für Auwertung'!G38*100</f>
        <v>0</v>
      </c>
      <c r="G3" s="191">
        <f>'[30]Tabellen für Auwertung'!E38*100</f>
        <v>0.140254511520121</v>
      </c>
      <c r="H3" s="191">
        <f>'[30]Tabellen für Auwertung'!H38*100</f>
        <v>0</v>
      </c>
      <c r="I3" s="191">
        <f>'[30]Tabellen für Auwertung'!I38*100</f>
        <v>0</v>
      </c>
      <c r="J3" s="191">
        <f>'[30]Tabellen für Auwertung'!J21</f>
        <v>18.1812333333333</v>
      </c>
      <c r="L3" s="203">
        <f t="shared" ref="L3:L14" si="0">SUM(B3:H3,H3,I3)</f>
        <v>100</v>
      </c>
    </row>
    <row r="4" spans="1:12">
      <c r="A4" s="245">
        <f>'[30]Tabellen für Auwertung'!A39</f>
        <v>42705</v>
      </c>
      <c r="B4" s="191">
        <f>'[30]Tabellen für Auwertung'!D39*100</f>
        <v>0</v>
      </c>
      <c r="C4" s="191">
        <f>'[30]Tabellen für Auwertung'!C39*100</f>
        <v>50.4153527146234</v>
      </c>
      <c r="D4" s="191">
        <f>'[30]Tabellen für Auwertung'!B39*100</f>
        <v>42.8690284438094</v>
      </c>
      <c r="E4" s="191">
        <f>'[30]Tabellen für Auwertung'!F39*100</f>
        <v>5.78995990647906</v>
      </c>
      <c r="F4" s="191">
        <f>'[30]Tabellen für Auwertung'!G39*100</f>
        <v>0</v>
      </c>
      <c r="G4" s="191">
        <f>'[30]Tabellen für Auwertung'!E39*100</f>
        <v>0.925658935088167</v>
      </c>
      <c r="H4" s="191">
        <f>'[30]Tabellen für Auwertung'!H39*100</f>
        <v>0</v>
      </c>
      <c r="I4" s="191">
        <f>'[30]Tabellen für Auwertung'!I39*100</f>
        <v>0</v>
      </c>
      <c r="J4" s="191">
        <f>'[30]Tabellen für Auwertung'!J22</f>
        <v>17.5637741935484</v>
      </c>
      <c r="L4" s="203">
        <f t="shared" si="0"/>
        <v>100</v>
      </c>
    </row>
    <row r="5" spans="1:12">
      <c r="A5" s="245">
        <f>'[30]Tabellen für Auwertung'!A40</f>
        <v>42736</v>
      </c>
      <c r="B5" s="191">
        <f>'[30]Tabellen für Auwertung'!D40*100</f>
        <v>0</v>
      </c>
      <c r="C5" s="191">
        <f>'[30]Tabellen für Auwertung'!C40*100</f>
        <v>59.0013820514475</v>
      </c>
      <c r="D5" s="191">
        <f>'[30]Tabellen für Auwertung'!B40*100</f>
        <v>36.453768526283</v>
      </c>
      <c r="E5" s="191">
        <f>'[30]Tabellen für Auwertung'!F40*100</f>
        <v>4.32937566134662</v>
      </c>
      <c r="F5" s="191">
        <f>'[30]Tabellen für Auwertung'!G40*100</f>
        <v>0</v>
      </c>
      <c r="G5" s="191">
        <f>'[30]Tabellen für Auwertung'!E40*100</f>
        <v>0.215473760922941</v>
      </c>
      <c r="H5" s="191">
        <f>'[30]Tabellen für Auwertung'!H40*100</f>
        <v>0</v>
      </c>
      <c r="I5" s="191">
        <f>'[30]Tabellen für Auwertung'!I40*100</f>
        <v>0</v>
      </c>
      <c r="J5" s="191">
        <f>'[30]Tabellen für Auwertung'!J23</f>
        <v>23.5040967741935</v>
      </c>
      <c r="L5" s="203">
        <f t="shared" si="0"/>
        <v>100</v>
      </c>
    </row>
    <row r="6" spans="1:12">
      <c r="A6" s="245">
        <f>'[30]Tabellen für Auwertung'!A41</f>
        <v>42767</v>
      </c>
      <c r="B6" s="191">
        <f>'[30]Tabellen für Auwertung'!D41*100</f>
        <v>0.241244604963899</v>
      </c>
      <c r="C6" s="191">
        <f>'[30]Tabellen für Auwertung'!C41*100</f>
        <v>61.280783897582</v>
      </c>
      <c r="D6" s="191">
        <f>'[30]Tabellen für Auwertung'!B41*100</f>
        <v>33.5553404263901</v>
      </c>
      <c r="E6" s="191">
        <f>'[30]Tabellen für Auwertung'!F41*100</f>
        <v>4.44091756726148</v>
      </c>
      <c r="F6" s="191">
        <f>'[30]Tabellen für Auwertung'!G41*100</f>
        <v>0</v>
      </c>
      <c r="G6" s="191">
        <f>'[30]Tabellen für Auwertung'!E41*100</f>
        <v>0.481713503802511</v>
      </c>
      <c r="H6" s="191">
        <f>'[30]Tabellen für Auwertung'!H41*100</f>
        <v>0</v>
      </c>
      <c r="I6" s="191">
        <f>'[30]Tabellen für Auwertung'!I41*100</f>
        <v>0</v>
      </c>
      <c r="J6" s="191">
        <f>'[30]Tabellen für Auwertung'!J24</f>
        <v>23.0205</v>
      </c>
      <c r="L6" s="203">
        <f t="shared" si="0"/>
        <v>100</v>
      </c>
    </row>
    <row r="7" spans="1:12">
      <c r="A7" s="245">
        <f>'[30]Tabellen für Auwertung'!A42</f>
        <v>42795</v>
      </c>
      <c r="B7" s="191">
        <f>'[30]Tabellen für Auwertung'!D42*100</f>
        <v>13.547379569479</v>
      </c>
      <c r="C7" s="191">
        <f>'[30]Tabellen für Auwertung'!C42*100</f>
        <v>42.8699599970318</v>
      </c>
      <c r="D7" s="191">
        <f>'[30]Tabellen für Auwertung'!B42*100</f>
        <v>37.5324644661661</v>
      </c>
      <c r="E7" s="191">
        <f>'[30]Tabellen für Auwertung'!F42*100</f>
        <v>5.37223672582789</v>
      </c>
      <c r="F7" s="191">
        <f>'[30]Tabellen für Auwertung'!G42*100</f>
        <v>0</v>
      </c>
      <c r="G7" s="191">
        <f>'[30]Tabellen für Auwertung'!E42*100</f>
        <v>0.677959241495153</v>
      </c>
      <c r="H7" s="191">
        <f>'[30]Tabellen für Auwertung'!H42*100</f>
        <v>0</v>
      </c>
      <c r="I7" s="191">
        <f>'[30]Tabellen für Auwertung'!I42*100</f>
        <v>0</v>
      </c>
      <c r="J7" s="191">
        <f>'[30]Tabellen für Auwertung'!J25</f>
        <v>19.1276129032258</v>
      </c>
      <c r="L7" s="203">
        <f t="shared" si="0"/>
        <v>100</v>
      </c>
    </row>
    <row r="8" spans="1:12">
      <c r="A8" s="245">
        <f>'[30]Tabellen für Auwertung'!A43</f>
        <v>42826</v>
      </c>
      <c r="B8" s="191">
        <f>'[30]Tabellen für Auwertung'!D43*100</f>
        <v>16.3034053714261</v>
      </c>
      <c r="C8" s="191">
        <f>'[30]Tabellen für Auwertung'!C43*100</f>
        <v>44.7257566889934</v>
      </c>
      <c r="D8" s="191">
        <f>'[30]Tabellen für Auwertung'!B43*100</f>
        <v>32.2529425790649</v>
      </c>
      <c r="E8" s="191">
        <f>'[30]Tabellen für Auwertung'!F43*100</f>
        <v>5.48053092869168</v>
      </c>
      <c r="F8" s="191">
        <f>'[30]Tabellen für Auwertung'!G43*100</f>
        <v>0</v>
      </c>
      <c r="G8" s="191">
        <f>'[30]Tabellen für Auwertung'!E43*100</f>
        <v>1.23736443182393</v>
      </c>
      <c r="H8" s="191">
        <f>'[30]Tabellen für Auwertung'!H43*100</f>
        <v>0</v>
      </c>
      <c r="I8" s="191">
        <f>'[30]Tabellen für Auwertung'!I43*100</f>
        <v>0</v>
      </c>
      <c r="J8" s="191">
        <f>'[30]Tabellen für Auwertung'!J26</f>
        <v>18.4532</v>
      </c>
      <c r="L8" s="203">
        <f t="shared" si="0"/>
        <v>100</v>
      </c>
    </row>
    <row r="9" spans="1:12">
      <c r="A9" s="245">
        <f>'[30]Tabellen für Auwertung'!A44</f>
        <v>42856</v>
      </c>
      <c r="B9" s="191">
        <f>'[30]Tabellen für Auwertung'!D44*100</f>
        <v>15.7642405891621</v>
      </c>
      <c r="C9" s="191">
        <f>'[30]Tabellen für Auwertung'!C44*100</f>
        <v>44.1770255824832</v>
      </c>
      <c r="D9" s="191">
        <f>'[30]Tabellen für Auwertung'!B44*100</f>
        <v>33.8129873024826</v>
      </c>
      <c r="E9" s="191">
        <f>'[30]Tabellen für Auwertung'!F44*100</f>
        <v>4.5181816493094</v>
      </c>
      <c r="F9" s="191">
        <f>'[30]Tabellen für Auwertung'!G44*100</f>
        <v>0</v>
      </c>
      <c r="G9" s="191">
        <f>'[30]Tabellen für Auwertung'!E44*100</f>
        <v>1.7275648765627</v>
      </c>
      <c r="H9" s="191">
        <f>'[30]Tabellen für Auwertung'!H44*100</f>
        <v>0</v>
      </c>
      <c r="I9" s="191">
        <f>'[30]Tabellen für Auwertung'!I44*100</f>
        <v>0</v>
      </c>
      <c r="J9" s="191">
        <f>'[30]Tabellen für Auwertung'!J27</f>
        <v>19.1020322580645</v>
      </c>
      <c r="L9" s="203">
        <f t="shared" si="0"/>
        <v>100</v>
      </c>
    </row>
    <row r="10" spans="1:12">
      <c r="A10" s="245">
        <f>'[30]Tabellen für Auwertung'!A45</f>
        <v>42887</v>
      </c>
      <c r="B10" s="191">
        <f>'[30]Tabellen für Auwertung'!D45*100</f>
        <v>10.2675734079064</v>
      </c>
      <c r="C10" s="191">
        <f>'[30]Tabellen für Auwertung'!C45*100</f>
        <v>0</v>
      </c>
      <c r="D10" s="191">
        <f>'[30]Tabellen für Auwertung'!B45*100</f>
        <v>25.418414473963</v>
      </c>
      <c r="E10" s="191">
        <f>'[30]Tabellen für Auwertung'!F45*100</f>
        <v>0</v>
      </c>
      <c r="F10" s="191">
        <f>'[30]Tabellen für Auwertung'!G45*100</f>
        <v>62.6244650650396</v>
      </c>
      <c r="G10" s="191">
        <f>'[30]Tabellen für Auwertung'!E45*100</f>
        <v>1.68954705309097</v>
      </c>
      <c r="H10" s="191">
        <f>'[30]Tabellen für Auwertung'!H45*100</f>
        <v>0</v>
      </c>
      <c r="I10" s="191">
        <f>'[30]Tabellen für Auwertung'!I45*100</f>
        <v>0</v>
      </c>
      <c r="J10" s="191">
        <f>'[30]Tabellen für Auwertung'!J28</f>
        <v>15.734</v>
      </c>
      <c r="L10" s="203">
        <f t="shared" si="0"/>
        <v>100</v>
      </c>
    </row>
    <row r="11" spans="1:12">
      <c r="A11" s="245">
        <f>'[30]Tabellen für Auwertung'!A46</f>
        <v>42917</v>
      </c>
      <c r="B11" s="191">
        <f>'[30]Tabellen für Auwertung'!D46*100</f>
        <v>15.3926926473045</v>
      </c>
      <c r="C11" s="191">
        <f>'[30]Tabellen für Auwertung'!C46*100</f>
        <v>0</v>
      </c>
      <c r="D11" s="191">
        <f>'[30]Tabellen für Auwertung'!B46*100</f>
        <v>35.4461494403742</v>
      </c>
      <c r="E11" s="191">
        <f>'[30]Tabellen für Auwertung'!F46*100</f>
        <v>0</v>
      </c>
      <c r="F11" s="191">
        <f>'[30]Tabellen für Auwertung'!G46*100</f>
        <v>49.1611579123213</v>
      </c>
      <c r="G11" s="191">
        <f>'[30]Tabellen für Auwertung'!E46*100</f>
        <v>0</v>
      </c>
      <c r="H11" s="191">
        <f>'[30]Tabellen für Auwertung'!H46*100</f>
        <v>0</v>
      </c>
      <c r="I11" s="191">
        <f>'[30]Tabellen für Auwertung'!I46*100</f>
        <v>0</v>
      </c>
      <c r="J11" s="191">
        <f>'[30]Tabellen für Auwertung'!J29</f>
        <v>2.70341935483871</v>
      </c>
      <c r="L11" s="203">
        <f t="shared" si="0"/>
        <v>100</v>
      </c>
    </row>
    <row r="12" spans="1:12">
      <c r="A12" s="245">
        <f>'[30]Tabellen für Auwertung'!A47</f>
        <v>42948</v>
      </c>
      <c r="B12" s="191">
        <f>'[30]Tabellen für Auwertung'!D47*100</f>
        <v>11.2998621425713</v>
      </c>
      <c r="C12" s="191">
        <f>'[30]Tabellen für Auwertung'!C47*100</f>
        <v>0</v>
      </c>
      <c r="D12" s="191">
        <f>'[30]Tabellen für Auwertung'!B47*100</f>
        <v>41.635908154341</v>
      </c>
      <c r="E12" s="191">
        <f>'[30]Tabellen für Auwertung'!F47*100</f>
        <v>0</v>
      </c>
      <c r="F12" s="191">
        <f>'[30]Tabellen für Auwertung'!G47*100</f>
        <v>47.0642297030877</v>
      </c>
      <c r="G12" s="191">
        <f>'[30]Tabellen für Auwertung'!E47*100</f>
        <v>0</v>
      </c>
      <c r="H12" s="191">
        <f>'[30]Tabellen für Auwertung'!H47*100</f>
        <v>0</v>
      </c>
      <c r="I12" s="191">
        <f>'[30]Tabellen für Auwertung'!I47*100</f>
        <v>0</v>
      </c>
      <c r="J12" s="191">
        <f>'[30]Tabellen für Auwertung'!J30</f>
        <v>21.7616129032258</v>
      </c>
      <c r="L12" s="203">
        <f t="shared" si="0"/>
        <v>100</v>
      </c>
    </row>
    <row r="13" spans="1:12">
      <c r="A13" s="245">
        <f>'[30]Tabellen für Auwertung'!A48</f>
        <v>42979</v>
      </c>
      <c r="B13" s="191">
        <f>'[30]Tabellen für Auwertung'!D48*100</f>
        <v>10.1438745052745</v>
      </c>
      <c r="C13" s="191">
        <f>'[30]Tabellen für Auwertung'!C48*100</f>
        <v>0</v>
      </c>
      <c r="D13" s="191">
        <f>'[30]Tabellen für Auwertung'!B48*100</f>
        <v>42.6198404951493</v>
      </c>
      <c r="E13" s="191">
        <f>'[30]Tabellen für Auwertung'!F48*100</f>
        <v>0</v>
      </c>
      <c r="F13" s="191">
        <f>'[30]Tabellen für Auwertung'!G48*100</f>
        <v>47.2362849995763</v>
      </c>
      <c r="G13" s="191">
        <f>'[30]Tabellen für Auwertung'!E48*100</f>
        <v>0</v>
      </c>
      <c r="H13" s="191">
        <f>'[30]Tabellen für Auwertung'!H48*100</f>
        <v>0</v>
      </c>
      <c r="I13" s="191">
        <f>'[30]Tabellen für Auwertung'!I48*100</f>
        <v>0</v>
      </c>
      <c r="J13" s="191">
        <f>'[30]Tabellen für Auwertung'!J31</f>
        <v>21.2407333333333</v>
      </c>
      <c r="L13" s="203">
        <f t="shared" si="0"/>
        <v>100</v>
      </c>
    </row>
    <row r="14" spans="1:12">
      <c r="A14" s="246">
        <f>'[30]Tabellen für Auwertung'!A49</f>
        <v>43009</v>
      </c>
      <c r="B14" s="247">
        <f>'[30]Tabellen für Auwertung'!D49*100</f>
        <v>11.1337173177351</v>
      </c>
      <c r="C14" s="247">
        <f>'[30]Tabellen für Auwertung'!C49*100</f>
        <v>0</v>
      </c>
      <c r="D14" s="247">
        <f>'[30]Tabellen für Auwertung'!B49*100</f>
        <v>42.7592544961144</v>
      </c>
      <c r="E14" s="247">
        <f>'[30]Tabellen für Auwertung'!F49*100</f>
        <v>0</v>
      </c>
      <c r="F14" s="247">
        <f>'[30]Tabellen für Auwertung'!G49*100</f>
        <v>45.9220683137729</v>
      </c>
      <c r="G14" s="247">
        <f>'[30]Tabellen für Auwertung'!E49*100</f>
        <v>0.184959872377688</v>
      </c>
      <c r="H14" s="247">
        <f>'[30]Tabellen für Auwertung'!H49*100</f>
        <v>0</v>
      </c>
      <c r="I14" s="247">
        <f>'[30]Tabellen für Auwertung'!I49*100</f>
        <v>0</v>
      </c>
      <c r="J14" s="247">
        <f>'[30]Tabellen für Auwertung'!J32</f>
        <v>22.323935483871</v>
      </c>
      <c r="K14" s="228"/>
      <c r="L14" s="259">
        <f t="shared" si="0"/>
        <v>100</v>
      </c>
    </row>
    <row r="15" spans="1:12">
      <c r="A15" t="s">
        <v>474</v>
      </c>
      <c r="B15" s="203">
        <f t="shared" ref="B15:J15" si="1">AVERAGE(B3:B14)</f>
        <v>8.76693270848597</v>
      </c>
      <c r="C15" s="203">
        <f t="shared" si="1"/>
        <v>28.9154188464258</v>
      </c>
      <c r="D15" s="203">
        <f t="shared" si="1"/>
        <v>37.9263137422276</v>
      </c>
      <c r="E15" s="203">
        <f t="shared" si="1"/>
        <v>2.78394285448718</v>
      </c>
      <c r="F15" s="203">
        <f t="shared" si="1"/>
        <v>21.0006838328165</v>
      </c>
      <c r="G15" s="203">
        <f t="shared" si="1"/>
        <v>0.606708015557015</v>
      </c>
      <c r="H15" s="203">
        <f t="shared" si="1"/>
        <v>0</v>
      </c>
      <c r="I15" s="203">
        <f t="shared" si="1"/>
        <v>0</v>
      </c>
      <c r="J15" s="203">
        <f t="shared" si="1"/>
        <v>18.5596792114695</v>
      </c>
      <c r="L15" s="203">
        <f>AVERAGE(L3:L14)</f>
        <v>100</v>
      </c>
    </row>
    <row r="19" spans="1:12">
      <c r="A19" s="458"/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</row>
    <row r="20" spans="1:12">
      <c r="A20" s="458"/>
      <c r="B20" s="458"/>
      <c r="C20" s="458"/>
      <c r="D20" s="458"/>
      <c r="E20" s="458"/>
      <c r="F20" s="458"/>
      <c r="G20" s="458"/>
      <c r="H20" s="458"/>
      <c r="I20" s="458"/>
      <c r="J20" s="458"/>
      <c r="K20" s="458"/>
      <c r="L20" s="458"/>
    </row>
    <row r="21" spans="1:12">
      <c r="A21" s="458"/>
      <c r="B21" s="458"/>
      <c r="C21" s="458"/>
      <c r="D21" s="458" t="s">
        <v>104</v>
      </c>
      <c r="E21" t="s">
        <v>22</v>
      </c>
      <c r="F21" s="458"/>
      <c r="G21" s="458"/>
      <c r="H21" s="458"/>
      <c r="I21" s="458"/>
      <c r="J21" s="458"/>
      <c r="K21" s="458"/>
      <c r="L21" s="458"/>
    </row>
    <row r="22" ht="34" spans="1:12">
      <c r="A22" s="458"/>
      <c r="B22" s="458"/>
      <c r="C22" s="458"/>
      <c r="D22" s="460"/>
      <c r="E22" s="260" t="s">
        <v>475</v>
      </c>
      <c r="F22" s="260"/>
      <c r="G22" s="458"/>
      <c r="H22" s="458"/>
      <c r="I22" s="458"/>
      <c r="J22" s="458"/>
      <c r="K22" s="458"/>
      <c r="L22" s="458"/>
    </row>
    <row r="23" spans="1:12">
      <c r="A23" s="458"/>
      <c r="B23" s="458"/>
      <c r="C23" s="458"/>
      <c r="D23" s="461">
        <f t="shared" ref="D23:D34" si="2">A3</f>
        <v>42675</v>
      </c>
      <c r="E23" s="472">
        <f>[30]Auswertung!O196</f>
        <v>0.136122660383518</v>
      </c>
      <c r="F23" s="261"/>
      <c r="G23" s="458"/>
      <c r="H23" s="458"/>
      <c r="I23" s="458"/>
      <c r="J23" s="458"/>
      <c r="K23" s="458"/>
      <c r="L23" s="458"/>
    </row>
    <row r="24" spans="1:12">
      <c r="A24" s="458"/>
      <c r="B24" s="458"/>
      <c r="C24" s="458"/>
      <c r="D24" s="461">
        <f t="shared" si="2"/>
        <v>42705</v>
      </c>
      <c r="E24" s="472">
        <f>[30]Auswertung!O197</f>
        <v>0.14</v>
      </c>
      <c r="F24" s="261"/>
      <c r="G24" s="458"/>
      <c r="H24" s="458"/>
      <c r="I24" s="458"/>
      <c r="J24" s="458"/>
      <c r="K24" s="458"/>
      <c r="L24" s="458"/>
    </row>
    <row r="25" spans="1:12">
      <c r="A25" s="458"/>
      <c r="B25" s="458"/>
      <c r="C25" s="458"/>
      <c r="D25" s="461">
        <f t="shared" si="2"/>
        <v>42736</v>
      </c>
      <c r="E25" s="472">
        <f>[30]Auswertung!O198</f>
        <v>0.133218030912717</v>
      </c>
      <c r="F25" s="261"/>
      <c r="G25" s="458"/>
      <c r="H25" s="458"/>
      <c r="I25" s="458"/>
      <c r="J25" s="458"/>
      <c r="K25" s="458"/>
      <c r="L25" s="458"/>
    </row>
    <row r="26" spans="1:12">
      <c r="A26" s="458"/>
      <c r="B26" s="458"/>
      <c r="C26" s="458"/>
      <c r="D26" s="461">
        <f t="shared" si="2"/>
        <v>42767</v>
      </c>
      <c r="E26" s="472">
        <f>[30]Auswertung!O199</f>
        <v>0.174175320490982</v>
      </c>
      <c r="F26" s="261"/>
      <c r="G26" s="458"/>
      <c r="H26" s="458"/>
      <c r="I26" s="458"/>
      <c r="J26" s="458"/>
      <c r="K26" s="458"/>
      <c r="L26" s="458"/>
    </row>
    <row r="27" spans="1:12">
      <c r="A27" s="458"/>
      <c r="B27" s="458"/>
      <c r="C27" s="458"/>
      <c r="D27" s="461">
        <f t="shared" si="2"/>
        <v>42795</v>
      </c>
      <c r="E27" s="472">
        <f>[30]Auswertung!O200</f>
        <v>0.119387093203715</v>
      </c>
      <c r="F27" s="261"/>
      <c r="G27" s="458"/>
      <c r="H27" s="458"/>
      <c r="I27" s="458"/>
      <c r="J27" s="458"/>
      <c r="K27" s="458"/>
      <c r="L27" s="458"/>
    </row>
    <row r="28" spans="1:12">
      <c r="A28" s="458"/>
      <c r="B28" s="458"/>
      <c r="C28" s="458"/>
      <c r="D28" s="461">
        <f t="shared" si="2"/>
        <v>42826</v>
      </c>
      <c r="E28" s="472">
        <f>[30]Auswertung!O201</f>
        <v>0.124343264608437</v>
      </c>
      <c r="F28" s="261"/>
      <c r="G28" s="458"/>
      <c r="H28" s="458"/>
      <c r="I28" s="458"/>
      <c r="J28" s="458"/>
      <c r="K28" s="458"/>
      <c r="L28" s="458"/>
    </row>
    <row r="29" spans="1:12">
      <c r="A29" s="458"/>
      <c r="B29" s="458"/>
      <c r="C29" s="458"/>
      <c r="D29" s="461">
        <f t="shared" si="2"/>
        <v>42856</v>
      </c>
      <c r="E29" s="472">
        <f>[30]Auswertung!O202</f>
        <v>0.153123735964214</v>
      </c>
      <c r="F29" s="261"/>
      <c r="G29" s="458"/>
      <c r="H29" s="458"/>
      <c r="I29" s="458"/>
      <c r="J29" s="458"/>
      <c r="K29" s="458"/>
      <c r="L29" s="458"/>
    </row>
    <row r="30" spans="1:12">
      <c r="A30" s="458"/>
      <c r="B30" s="458"/>
      <c r="C30" s="458"/>
      <c r="D30" s="461">
        <f t="shared" si="2"/>
        <v>42887</v>
      </c>
      <c r="E30" s="472">
        <f>[30]Auswertung!O203</f>
        <v>0.13415668188102</v>
      </c>
      <c r="F30" s="261"/>
      <c r="G30" s="458"/>
      <c r="H30" s="458"/>
      <c r="I30" s="458"/>
      <c r="J30" s="458"/>
      <c r="K30" s="458"/>
      <c r="L30" s="458"/>
    </row>
    <row r="31" spans="1:12">
      <c r="A31" s="458"/>
      <c r="B31" s="458"/>
      <c r="C31" s="458"/>
      <c r="D31" s="461">
        <f t="shared" si="2"/>
        <v>42917</v>
      </c>
      <c r="E31" s="472" t="str">
        <f>[30]Auswertung!O204</f>
        <v>-</v>
      </c>
      <c r="F31" s="261"/>
      <c r="G31" s="458"/>
      <c r="H31" s="458"/>
      <c r="I31" s="458"/>
      <c r="J31" s="458"/>
      <c r="K31" s="458"/>
      <c r="L31" s="458"/>
    </row>
    <row r="32" spans="1:12">
      <c r="A32" s="458"/>
      <c r="B32" s="458"/>
      <c r="C32" s="458"/>
      <c r="D32" s="461">
        <f t="shared" si="2"/>
        <v>42948</v>
      </c>
      <c r="E32" s="472" t="str">
        <f>[30]Auswertung!O205</f>
        <v>-</v>
      </c>
      <c r="F32" s="261"/>
      <c r="G32" s="458"/>
      <c r="H32" s="458"/>
      <c r="I32" s="458"/>
      <c r="J32" s="458"/>
      <c r="K32" s="458"/>
      <c r="L32" s="458"/>
    </row>
    <row r="33" spans="1:12">
      <c r="A33" s="458"/>
      <c r="B33" s="458"/>
      <c r="C33" s="458"/>
      <c r="D33" s="461">
        <f t="shared" si="2"/>
        <v>42979</v>
      </c>
      <c r="E33" s="472">
        <f>[30]Auswertung!O206</f>
        <v>0.123682373318888</v>
      </c>
      <c r="F33" s="261"/>
      <c r="G33" s="458"/>
      <c r="H33" s="458"/>
      <c r="I33" s="458"/>
      <c r="J33" s="458"/>
      <c r="K33" s="458"/>
      <c r="L33" s="458"/>
    </row>
    <row r="34" spans="1:12">
      <c r="A34" s="458"/>
      <c r="B34" s="458"/>
      <c r="C34" s="458"/>
      <c r="D34" s="461">
        <f t="shared" si="2"/>
        <v>43009</v>
      </c>
      <c r="E34" s="472">
        <f>[30]Auswertung!O207</f>
        <v>0.136613789954891</v>
      </c>
      <c r="F34" s="262"/>
      <c r="G34" s="458"/>
      <c r="H34" s="458"/>
      <c r="I34" s="458"/>
      <c r="J34" s="458"/>
      <c r="K34" s="458"/>
      <c r="L34" s="458"/>
    </row>
    <row r="35" ht="17.55" spans="1:12">
      <c r="A35" s="458"/>
      <c r="B35" s="458"/>
      <c r="C35" s="458"/>
      <c r="D35" s="248"/>
      <c r="E35" s="248">
        <f>AVERAGE(E23:E34)</f>
        <v>0.137482295071838</v>
      </c>
      <c r="F35" s="248"/>
      <c r="G35" s="458"/>
      <c r="H35" s="458"/>
      <c r="I35" s="458"/>
      <c r="J35" s="458"/>
      <c r="K35" s="458"/>
      <c r="L35" s="458"/>
    </row>
    <row r="36" ht="17.55" spans="1:12">
      <c r="A36" s="458"/>
      <c r="B36" s="458"/>
      <c r="C36" s="458"/>
      <c r="D36" s="458"/>
      <c r="E36" s="458"/>
      <c r="F36" s="458"/>
      <c r="G36" s="458"/>
      <c r="H36" s="458"/>
      <c r="I36" s="458"/>
      <c r="J36" s="458"/>
      <c r="K36" s="458"/>
      <c r="L36" s="458"/>
    </row>
    <row r="37" spans="1:12">
      <c r="A37" s="458"/>
      <c r="B37" s="458"/>
      <c r="C37" s="458"/>
      <c r="D37" s="458"/>
      <c r="E37" s="458"/>
      <c r="F37" s="458"/>
      <c r="G37" s="458"/>
      <c r="H37" s="458"/>
      <c r="I37" s="458"/>
      <c r="J37" s="458"/>
      <c r="K37" s="458"/>
      <c r="L37" s="458"/>
    </row>
    <row r="39" ht="51" spans="2:3">
      <c r="B39" s="48" t="s">
        <v>391</v>
      </c>
      <c r="C39" s="48" t="s">
        <v>391</v>
      </c>
    </row>
    <row r="40" s="48" customFormat="1" ht="84" spans="2:12">
      <c r="B40" s="48" t="s">
        <v>393</v>
      </c>
      <c r="C40" s="48" t="s">
        <v>394</v>
      </c>
      <c r="D40" s="48" t="s">
        <v>395</v>
      </c>
      <c r="E40" s="48" t="s">
        <v>396</v>
      </c>
      <c r="F40" s="48" t="s">
        <v>183</v>
      </c>
      <c r="G40" s="48" t="s">
        <v>184</v>
      </c>
      <c r="H40" s="48" t="s">
        <v>397</v>
      </c>
      <c r="I40" s="48" t="s">
        <v>398</v>
      </c>
      <c r="J40" s="48" t="s">
        <v>399</v>
      </c>
      <c r="K40" s="48" t="s">
        <v>400</v>
      </c>
      <c r="L40" s="48" t="s">
        <v>401</v>
      </c>
    </row>
    <row r="41" s="48" customFormat="1" ht="34" spans="1:12">
      <c r="A41" s="760" t="s">
        <v>154</v>
      </c>
      <c r="B41" s="760" t="s">
        <v>185</v>
      </c>
      <c r="C41" s="760" t="s">
        <v>185</v>
      </c>
      <c r="D41" s="760" t="s">
        <v>185</v>
      </c>
      <c r="E41" s="760" t="s">
        <v>185</v>
      </c>
      <c r="F41" s="760" t="s">
        <v>59</v>
      </c>
      <c r="G41" s="760" t="s">
        <v>402</v>
      </c>
      <c r="H41" s="760" t="s">
        <v>185</v>
      </c>
      <c r="I41" s="760" t="s">
        <v>403</v>
      </c>
      <c r="J41" s="760" t="s">
        <v>404</v>
      </c>
      <c r="K41" s="760" t="s">
        <v>122</v>
      </c>
      <c r="L41" s="760" t="s">
        <v>122</v>
      </c>
    </row>
    <row r="42" spans="1:13">
      <c r="A42" s="245">
        <f t="shared" ref="A42:A53" si="3">A3</f>
        <v>42675</v>
      </c>
      <c r="B42" s="251">
        <f>[30]Biogas_Nm!E10</f>
        <v>193815.147</v>
      </c>
      <c r="C42" s="251">
        <f t="shared" ref="C42:C53" si="4">B42*L42/K42</f>
        <v>140206.702085106</v>
      </c>
      <c r="D42" s="251">
        <f>'[30]Tabellen für Auwertung'!O123</f>
        <v>87919</v>
      </c>
      <c r="E42" s="251" t="s">
        <v>405</v>
      </c>
      <c r="F42" s="689">
        <f t="shared" ref="F42:F53" si="5">B42/J42/K42*100</f>
        <v>101.58026572327</v>
      </c>
      <c r="G42" s="689">
        <f t="shared" ref="G42:G51" si="6">D42/J42/L42*100</f>
        <v>63.6976353434455</v>
      </c>
      <c r="H42" s="761" t="e">
        <f t="shared" ref="H42:H53" si="7">E42/J42/L42</f>
        <v>#VALUE!</v>
      </c>
      <c r="I42">
        <v>30</v>
      </c>
      <c r="J42">
        <v>720</v>
      </c>
      <c r="K42" s="199">
        <v>265</v>
      </c>
      <c r="L42" s="199">
        <f>K42*'[30]Tabellen für Auwertung'!P89/'[30]Tabellen für Auwertung'!O89</f>
        <v>191.702127659574</v>
      </c>
      <c r="M42" s="761"/>
    </row>
    <row r="43" spans="1:13">
      <c r="A43" s="245">
        <f t="shared" si="3"/>
        <v>42705</v>
      </c>
      <c r="B43" s="251">
        <f>[30]Biogas_Nm!E11</f>
        <v>182074.9878</v>
      </c>
      <c r="C43" s="251">
        <f t="shared" si="4"/>
        <v>131713.820961702</v>
      </c>
      <c r="D43" s="251">
        <f>'[30]Tabellen für Auwertung'!O124</f>
        <v>66266.0000000001</v>
      </c>
      <c r="E43" s="251" t="s">
        <v>405</v>
      </c>
      <c r="F43" s="689">
        <f t="shared" si="5"/>
        <v>92.3488475349969</v>
      </c>
      <c r="G43" s="689">
        <f t="shared" si="6"/>
        <v>46.4612497463989</v>
      </c>
      <c r="H43" s="761" t="e">
        <f t="shared" si="7"/>
        <v>#VALUE!</v>
      </c>
      <c r="I43">
        <v>31</v>
      </c>
      <c r="J43">
        <v>744</v>
      </c>
      <c r="K43" s="199">
        <v>265</v>
      </c>
      <c r="L43" s="199">
        <f>K43*'[30]Tabellen für Auwertung'!P90/'[30]Tabellen für Auwertung'!O90</f>
        <v>191.702127659574</v>
      </c>
      <c r="M43" s="761"/>
    </row>
    <row r="44" spans="1:13">
      <c r="A44" s="245">
        <f t="shared" si="3"/>
        <v>42736</v>
      </c>
      <c r="B44" s="251">
        <f>[30]Biogas_Nm!E12</f>
        <v>197151.5466</v>
      </c>
      <c r="C44" s="251">
        <f t="shared" si="4"/>
        <v>142620.267753191</v>
      </c>
      <c r="D44" s="251">
        <f>'[30]Tabellen für Auwertung'!O125</f>
        <v>80563.5</v>
      </c>
      <c r="E44" s="251" t="s">
        <v>405</v>
      </c>
      <c r="F44" s="689">
        <f t="shared" si="5"/>
        <v>99.9957124163116</v>
      </c>
      <c r="G44" s="689">
        <f t="shared" si="6"/>
        <v>56.4856924206079</v>
      </c>
      <c r="H44" s="761" t="e">
        <f t="shared" si="7"/>
        <v>#VALUE!</v>
      </c>
      <c r="I44">
        <v>31</v>
      </c>
      <c r="J44">
        <v>744</v>
      </c>
      <c r="K44" s="199">
        <v>265</v>
      </c>
      <c r="L44" s="199">
        <f>K44*'[30]Tabellen für Auwertung'!P91/'[30]Tabellen für Auwertung'!O91</f>
        <v>191.702127659574</v>
      </c>
      <c r="M44" s="761"/>
    </row>
    <row r="45" spans="1:13">
      <c r="A45" s="245">
        <f t="shared" si="3"/>
        <v>42767</v>
      </c>
      <c r="B45" s="251">
        <f>[30]Biogas_Nm!E13</f>
        <v>180374.4234</v>
      </c>
      <c r="C45" s="251">
        <f t="shared" si="4"/>
        <v>130483.625438298</v>
      </c>
      <c r="D45" s="251">
        <f>'[30]Tabellen für Auwertung'!O126</f>
        <v>80563.5</v>
      </c>
      <c r="E45" s="251" t="s">
        <v>405</v>
      </c>
      <c r="F45" s="689">
        <f t="shared" si="5"/>
        <v>101.288422843666</v>
      </c>
      <c r="G45" s="689">
        <f t="shared" si="6"/>
        <v>62.5377308942445</v>
      </c>
      <c r="H45" s="761" t="e">
        <f t="shared" si="7"/>
        <v>#VALUE!</v>
      </c>
      <c r="I45">
        <v>28</v>
      </c>
      <c r="J45">
        <v>672</v>
      </c>
      <c r="K45" s="199">
        <v>265</v>
      </c>
      <c r="L45" s="199">
        <f>K45*'[30]Tabellen für Auwertung'!P92/'[30]Tabellen für Auwertung'!O92</f>
        <v>191.702127659574</v>
      </c>
      <c r="M45" s="761"/>
    </row>
    <row r="46" spans="1:13">
      <c r="A46" s="245">
        <f t="shared" si="3"/>
        <v>42795</v>
      </c>
      <c r="B46" s="251">
        <f>[30]Biogas_Nm!E14</f>
        <v>196908.6642</v>
      </c>
      <c r="C46" s="251">
        <f t="shared" si="4"/>
        <v>142444.565591489</v>
      </c>
      <c r="D46" s="251">
        <f>'[30]Tabellen für Auwertung'!O127</f>
        <v>91453</v>
      </c>
      <c r="E46" s="251" t="s">
        <v>405</v>
      </c>
      <c r="F46" s="689">
        <f t="shared" si="5"/>
        <v>99.8725219111382</v>
      </c>
      <c r="G46" s="689">
        <f t="shared" si="6"/>
        <v>64.1206753547432</v>
      </c>
      <c r="H46" s="761" t="e">
        <f t="shared" si="7"/>
        <v>#VALUE!</v>
      </c>
      <c r="I46">
        <v>31</v>
      </c>
      <c r="J46">
        <v>744</v>
      </c>
      <c r="K46" s="199">
        <v>265</v>
      </c>
      <c r="L46" s="199">
        <f>K46*'[30]Tabellen für Auwertung'!P93/'[30]Tabellen für Auwertung'!O93</f>
        <v>191.702127659574</v>
      </c>
      <c r="M46" s="761"/>
    </row>
    <row r="47" spans="1:13">
      <c r="A47" s="245">
        <f t="shared" si="3"/>
        <v>42826</v>
      </c>
      <c r="B47" s="251">
        <f>[30]Biogas_Nm!E15</f>
        <v>192590.7288</v>
      </c>
      <c r="C47" s="251">
        <f t="shared" si="4"/>
        <v>139320.952748936</v>
      </c>
      <c r="D47" s="251">
        <f>'[30]Tabellen für Auwertung'!O128</f>
        <v>74712</v>
      </c>
      <c r="E47" s="251" t="s">
        <v>405</v>
      </c>
      <c r="F47" s="689">
        <f t="shared" si="5"/>
        <v>100.938537106918</v>
      </c>
      <c r="G47" s="689">
        <f t="shared" si="6"/>
        <v>54.1291157972623</v>
      </c>
      <c r="H47" s="761" t="e">
        <f t="shared" si="7"/>
        <v>#VALUE!</v>
      </c>
      <c r="I47">
        <v>30</v>
      </c>
      <c r="J47">
        <v>720</v>
      </c>
      <c r="K47" s="199">
        <v>265</v>
      </c>
      <c r="L47" s="199">
        <f>K47*'[30]Tabellen für Auwertung'!P94/'[30]Tabellen für Auwertung'!O94</f>
        <v>191.702127659574</v>
      </c>
      <c r="M47" s="761"/>
    </row>
    <row r="48" spans="1:13">
      <c r="A48" s="245">
        <f t="shared" si="3"/>
        <v>42856</v>
      </c>
      <c r="B48" s="251">
        <f>[30]Biogas_Nm!E16</f>
        <v>197133.6048</v>
      </c>
      <c r="C48" s="251">
        <f t="shared" si="4"/>
        <v>142607.288578723</v>
      </c>
      <c r="D48" s="251">
        <f>'[30]Tabellen für Auwertung'!O129</f>
        <v>69115</v>
      </c>
      <c r="E48" s="251" t="s">
        <v>405</v>
      </c>
      <c r="F48" s="689">
        <f t="shared" si="5"/>
        <v>99.9866122945831</v>
      </c>
      <c r="G48" s="689">
        <f t="shared" si="6"/>
        <v>48.4587763894359</v>
      </c>
      <c r="H48" s="761" t="e">
        <f t="shared" si="7"/>
        <v>#VALUE!</v>
      </c>
      <c r="I48">
        <v>31</v>
      </c>
      <c r="J48">
        <v>744</v>
      </c>
      <c r="K48" s="199">
        <v>265</v>
      </c>
      <c r="L48" s="199">
        <f>K48*'[30]Tabellen für Auwertung'!P95/'[30]Tabellen für Auwertung'!O95</f>
        <v>191.702127659574</v>
      </c>
      <c r="M48" s="761"/>
    </row>
    <row r="49" spans="1:13">
      <c r="A49" s="245">
        <f t="shared" si="3"/>
        <v>42887</v>
      </c>
      <c r="B49" s="251">
        <f>[30]Biogas_Nm!E17</f>
        <v>111904.2612</v>
      </c>
      <c r="C49" s="251">
        <f t="shared" si="4"/>
        <v>80952.0187404255</v>
      </c>
      <c r="D49" s="251">
        <f>'[30]Tabellen für Auwertung'!O130</f>
        <v>36320</v>
      </c>
      <c r="E49" s="251" t="s">
        <v>405</v>
      </c>
      <c r="F49" s="689">
        <f t="shared" si="5"/>
        <v>58.6500320754717</v>
      </c>
      <c r="G49" s="689">
        <f t="shared" si="6"/>
        <v>26.3139721297324</v>
      </c>
      <c r="H49" s="761" t="e">
        <f t="shared" si="7"/>
        <v>#VALUE!</v>
      </c>
      <c r="I49">
        <v>30</v>
      </c>
      <c r="J49">
        <v>720</v>
      </c>
      <c r="K49" s="199">
        <v>265</v>
      </c>
      <c r="L49" s="199">
        <f>K49*'[30]Tabellen für Auwertung'!P96/'[30]Tabellen für Auwertung'!O96</f>
        <v>191.702127659574</v>
      </c>
      <c r="M49" s="761"/>
    </row>
    <row r="50" spans="1:13">
      <c r="A50" s="245">
        <f t="shared" si="3"/>
        <v>42917</v>
      </c>
      <c r="B50" s="251">
        <f>[30]Biogas_Nm!E18</f>
        <v>26909.436</v>
      </c>
      <c r="C50" s="251">
        <f t="shared" si="4"/>
        <v>19466.4005106383</v>
      </c>
      <c r="D50" s="251">
        <f>'[30]Tabellen für Auwertung'!O131</f>
        <v>1833.00000000001</v>
      </c>
      <c r="E50" s="251" t="s">
        <v>405</v>
      </c>
      <c r="F50" s="689">
        <f t="shared" si="5"/>
        <v>13.6485270846013</v>
      </c>
      <c r="G50" s="689">
        <f t="shared" si="6"/>
        <v>1.28517596935306</v>
      </c>
      <c r="H50" s="761" t="e">
        <f t="shared" si="7"/>
        <v>#VALUE!</v>
      </c>
      <c r="I50">
        <v>31</v>
      </c>
      <c r="J50">
        <v>744</v>
      </c>
      <c r="K50" s="199">
        <v>265</v>
      </c>
      <c r="L50" s="199">
        <f>K50*'[30]Tabellen für Auwertung'!P97/'[30]Tabellen für Auwertung'!O97</f>
        <v>191.702127659574</v>
      </c>
      <c r="M50" s="761"/>
    </row>
    <row r="51" spans="1:13">
      <c r="A51" s="245">
        <f t="shared" si="3"/>
        <v>42948</v>
      </c>
      <c r="B51" s="251">
        <f>[30]Biogas_Nm!E19</f>
        <v>193378.8726</v>
      </c>
      <c r="C51" s="251">
        <f t="shared" si="4"/>
        <v>139891.09932766</v>
      </c>
      <c r="D51" s="251">
        <f>'[30]Tabellen für Auwertung'!O132</f>
        <v>49144</v>
      </c>
      <c r="E51" s="251" t="s">
        <v>405</v>
      </c>
      <c r="F51" s="689">
        <f t="shared" si="5"/>
        <v>98.0822035909921</v>
      </c>
      <c r="G51" s="689">
        <f t="shared" si="6"/>
        <v>34.4564581766974</v>
      </c>
      <c r="H51" s="761" t="e">
        <f t="shared" si="7"/>
        <v>#VALUE!</v>
      </c>
      <c r="I51">
        <v>31</v>
      </c>
      <c r="J51">
        <v>744</v>
      </c>
      <c r="K51" s="199">
        <v>265</v>
      </c>
      <c r="L51" s="199">
        <f>K51*'[30]Tabellen für Auwertung'!P98/'[30]Tabellen für Auwertung'!O98</f>
        <v>191.702127659574</v>
      </c>
      <c r="M51" s="761"/>
    </row>
    <row r="52" spans="1:13">
      <c r="A52" s="245">
        <f t="shared" si="3"/>
        <v>42979</v>
      </c>
      <c r="B52" s="251">
        <f>[30]Biogas_Nm!E20</f>
        <v>192999.2898</v>
      </c>
      <c r="C52" s="251">
        <f t="shared" si="4"/>
        <v>139616.507514894</v>
      </c>
      <c r="D52" s="251" t="s">
        <v>405</v>
      </c>
      <c r="E52" s="251" t="s">
        <v>405</v>
      </c>
      <c r="F52" s="689">
        <f t="shared" si="5"/>
        <v>101.152667610063</v>
      </c>
      <c r="G52" s="689" t="e">
        <f>D52/J52/L52</f>
        <v>#VALUE!</v>
      </c>
      <c r="H52" s="761" t="e">
        <f t="shared" si="7"/>
        <v>#VALUE!</v>
      </c>
      <c r="I52">
        <v>30</v>
      </c>
      <c r="J52">
        <v>720</v>
      </c>
      <c r="K52" s="199">
        <v>265</v>
      </c>
      <c r="L52" s="199">
        <f>K52*'[30]Tabellen für Auwertung'!P99/'[30]Tabellen für Auwertung'!O99</f>
        <v>191.702127659574</v>
      </c>
      <c r="M52" s="761"/>
    </row>
    <row r="53" spans="1:13">
      <c r="A53" s="246">
        <f t="shared" si="3"/>
        <v>43009</v>
      </c>
      <c r="B53" s="252">
        <f>[30]Biogas_Nm!E21</f>
        <v>200189.1066</v>
      </c>
      <c r="C53" s="252">
        <f t="shared" si="4"/>
        <v>144817.651582979</v>
      </c>
      <c r="D53" s="252" t="s">
        <v>405</v>
      </c>
      <c r="E53" s="252" t="s">
        <v>405</v>
      </c>
      <c r="F53" s="762">
        <f t="shared" si="5"/>
        <v>101.536369750456</v>
      </c>
      <c r="G53" s="762" t="e">
        <f>D53/J53/L53</f>
        <v>#VALUE!</v>
      </c>
      <c r="H53" s="763" t="e">
        <f t="shared" si="7"/>
        <v>#VALUE!</v>
      </c>
      <c r="I53" s="228">
        <v>31</v>
      </c>
      <c r="J53" s="228">
        <v>744</v>
      </c>
      <c r="K53" s="227">
        <v>265</v>
      </c>
      <c r="L53" s="227">
        <f>K53*'[30]Tabellen für Auwertung'!P100/'[30]Tabellen für Auwertung'!O100</f>
        <v>191.702127659574</v>
      </c>
      <c r="M53" s="761"/>
    </row>
    <row r="54" spans="2:12">
      <c r="B54" s="251">
        <f t="shared" ref="B54:H54" si="8">AVERAGE(B42:B53)</f>
        <v>172119.1724</v>
      </c>
      <c r="C54" s="251">
        <f t="shared" si="8"/>
        <v>124511.74173617</v>
      </c>
      <c r="D54" s="251">
        <f t="shared" si="8"/>
        <v>63788.9</v>
      </c>
      <c r="E54" s="251" t="e">
        <f t="shared" si="8"/>
        <v>#DIV/0!</v>
      </c>
      <c r="F54" s="764">
        <f t="shared" si="8"/>
        <v>89.0900599952057</v>
      </c>
      <c r="G54" s="764" t="e">
        <f t="shared" si="8"/>
        <v>#VALUE!</v>
      </c>
      <c r="H54" s="764" t="e">
        <f t="shared" si="8"/>
        <v>#VALUE!</v>
      </c>
      <c r="I54" s="764"/>
      <c r="J54" s="764"/>
      <c r="K54" s="689">
        <f>AVERAGE(K42:K53)</f>
        <v>265</v>
      </c>
      <c r="L54" s="766">
        <f>AVERAGE(L42:L53)</f>
        <v>191.702127659574</v>
      </c>
    </row>
    <row r="55" spans="2:5">
      <c r="B55" s="251">
        <f>SUM(B42:B53)</f>
        <v>2065430.0688</v>
      </c>
      <c r="C55" s="251">
        <f>SUM(C42:C53)</f>
        <v>1494140.90083404</v>
      </c>
      <c r="D55" s="251">
        <f>SUM(D42:D53)</f>
        <v>637889</v>
      </c>
      <c r="E55" s="251">
        <f>SUM(E42:E53)</f>
        <v>0</v>
      </c>
    </row>
    <row r="56" spans="6:6">
      <c r="F56" t="s">
        <v>407</v>
      </c>
    </row>
    <row r="57" spans="6:7">
      <c r="F57" s="765">
        <f>(B55+E55)/((K54+L54)*8760)</f>
        <v>0.516265797638079</v>
      </c>
      <c r="G57" t="s">
        <v>408</v>
      </c>
    </row>
    <row r="58" spans="7:7">
      <c r="G58" t="s">
        <v>409</v>
      </c>
    </row>
    <row r="60" spans="6:6">
      <c r="F60">
        <f>B55/K54/8760</f>
        <v>0.8897346725252</v>
      </c>
    </row>
  </sheetData>
  <pageMargins left="0.7" right="0.7" top="0.787401575" bottom="0.787401575" header="0.3" footer="0.3"/>
  <pageSetup paperSize="9" orientation="portrait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M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497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265</v>
      </c>
      <c r="G3" s="21"/>
      <c r="H3" s="23" t="s">
        <v>187</v>
      </c>
      <c r="I3" s="5" t="s">
        <v>188</v>
      </c>
      <c r="J3" s="35">
        <v>2031529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f>F3*0.95</f>
        <v>251.75</v>
      </c>
      <c r="G4" s="184"/>
      <c r="H4" s="25" t="s">
        <v>187</v>
      </c>
      <c r="I4" s="7" t="s">
        <v>191</v>
      </c>
      <c r="J4" s="37">
        <v>1230590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221"/>
      <c r="G5" s="221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92.0388209405629</v>
      </c>
      <c r="H6" s="27" t="s">
        <v>195</v>
      </c>
      <c r="I6" s="1"/>
      <c r="J6" s="40">
        <v>403456.93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7.96117905943712</v>
      </c>
      <c r="H7" s="27" t="s">
        <v>195</v>
      </c>
      <c r="I7" s="1"/>
      <c r="J7" s="40">
        <v>34898.24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3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438355.17</v>
      </c>
      <c r="K9" s="43" t="s">
        <v>196</v>
      </c>
      <c r="L9" s="12"/>
      <c r="M9" t="s">
        <v>77</v>
      </c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21.9434157650018</v>
      </c>
      <c r="H11" s="27" t="s">
        <v>195</v>
      </c>
      <c r="I11" s="1"/>
      <c r="J11" s="40">
        <v>99630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30</v>
      </c>
      <c r="F13" s="15" t="s">
        <v>204</v>
      </c>
      <c r="G13" s="31"/>
      <c r="H13" s="15"/>
      <c r="I13" s="15"/>
      <c r="J13" s="45">
        <v>78510</v>
      </c>
      <c r="K13" s="44" t="s">
        <v>196</v>
      </c>
      <c r="L13" s="15"/>
    </row>
    <row r="14" ht="21.75" customHeight="1" spans="1:13">
      <c r="A14" s="15"/>
      <c r="B14" s="16"/>
      <c r="C14" s="15"/>
      <c r="D14" s="15" t="s">
        <v>205</v>
      </c>
      <c r="E14" s="185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  <c r="M14" t="s">
        <v>77</v>
      </c>
    </row>
    <row r="15" ht="21.75" customHeight="1" spans="1:12">
      <c r="A15" s="15"/>
      <c r="B15" s="16"/>
      <c r="C15" s="15"/>
      <c r="D15" s="15" t="s">
        <v>242</v>
      </c>
      <c r="E15" s="185">
        <v>128</v>
      </c>
      <c r="F15" s="15" t="s">
        <v>204</v>
      </c>
      <c r="G15" s="31"/>
      <c r="H15" s="15"/>
      <c r="I15" s="15"/>
      <c r="J15" s="45">
        <v>21120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6.22674541393513</v>
      </c>
      <c r="H16" s="27" t="s">
        <v>195</v>
      </c>
      <c r="I16" s="1"/>
      <c r="J16" s="40">
        <v>28271.38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20.8525352904549</v>
      </c>
      <c r="H17" s="27" t="s">
        <v>195</v>
      </c>
      <c r="I17" s="1"/>
      <c r="J17" s="40">
        <v>94677.06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16.6893739796548</v>
      </c>
      <c r="H18" s="27" t="s">
        <v>195</v>
      </c>
      <c r="I18" s="1"/>
      <c r="J18" s="40">
        <v>75775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34.2879295509533</v>
      </c>
      <c r="H19" s="27" t="s">
        <v>195</v>
      </c>
      <c r="I19" s="1"/>
      <c r="J19" s="40">
        <v>155677.97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30842</v>
      </c>
      <c r="K21" s="44" t="s">
        <v>196</v>
      </c>
      <c r="L21" s="15"/>
    </row>
    <row r="22" ht="21.75" customHeight="1" spans="1:13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24854.82</v>
      </c>
      <c r="K22" s="44" t="s">
        <v>196</v>
      </c>
      <c r="L22" s="17"/>
      <c r="M22" t="s">
        <v>77</v>
      </c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474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10312.67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433.68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10923.66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26758.79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51078.35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454031.41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21.5775984492468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22.3492458143595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-0.771647365112685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-15676.24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L62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0.5" style="156" customWidth="1"/>
    <col min="3" max="3" width="11.5" style="156"/>
    <col min="4" max="4" width="10.1634615384615" style="156" customWidth="1"/>
    <col min="5" max="5" width="12.5" style="156" customWidth="1"/>
    <col min="6" max="6" width="5.16346153846154" style="156" customWidth="1"/>
    <col min="7" max="7" width="15.6634615384615" style="156" customWidth="1"/>
    <col min="8" max="8" width="24.3365384615385" style="156" customWidth="1"/>
    <col min="9" max="9" width="11.6634615384615" style="156" customWidth="1"/>
    <col min="10" max="10" width="9.33653846153846" style="156" customWidth="1"/>
    <col min="11" max="11" width="12.1634615384615" style="156" customWidth="1"/>
    <col min="12" max="16384" width="11.5" style="156"/>
  </cols>
  <sheetData>
    <row r="1" spans="1:1">
      <c r="A1" s="156" t="s">
        <v>77</v>
      </c>
    </row>
    <row r="2" ht="27.75" customHeight="1" spans="2:11">
      <c r="B2" s="49" t="s">
        <v>509</v>
      </c>
      <c r="C2" s="50"/>
      <c r="D2" s="50"/>
      <c r="E2" s="50"/>
      <c r="F2" s="50"/>
      <c r="G2" s="50"/>
      <c r="H2" s="50"/>
      <c r="I2" s="50"/>
      <c r="J2" s="50"/>
      <c r="K2" s="50"/>
    </row>
    <row r="3" ht="17.6" spans="2:11">
      <c r="B3" s="51" t="s">
        <v>1</v>
      </c>
      <c r="C3" s="52"/>
      <c r="D3" s="53"/>
      <c r="E3" s="52"/>
      <c r="F3" s="52"/>
      <c r="G3" s="53"/>
      <c r="H3" s="53"/>
      <c r="I3" s="52"/>
      <c r="J3" s="53"/>
      <c r="K3" s="113"/>
    </row>
    <row r="4" spans="2:11">
      <c r="B4" s="54" t="s">
        <v>2</v>
      </c>
      <c r="C4" s="213" t="s">
        <v>510</v>
      </c>
      <c r="D4" s="213"/>
      <c r="E4" s="95"/>
      <c r="F4" s="96"/>
      <c r="G4" s="56"/>
      <c r="H4" s="56"/>
      <c r="I4" s="64"/>
      <c r="J4" s="64"/>
      <c r="K4" s="114"/>
    </row>
    <row r="5" spans="2:11">
      <c r="B5" s="54" t="s">
        <v>4</v>
      </c>
      <c r="C5" s="886" t="s">
        <v>511</v>
      </c>
      <c r="D5" s="213"/>
      <c r="E5" s="95"/>
      <c r="F5" s="96"/>
      <c r="G5" s="56"/>
      <c r="H5" s="56"/>
      <c r="I5" s="64"/>
      <c r="J5" s="64"/>
      <c r="K5" s="114"/>
    </row>
    <row r="6" spans="2:11">
      <c r="B6" s="57" t="s">
        <v>6</v>
      </c>
      <c r="C6" s="213" t="s">
        <v>512</v>
      </c>
      <c r="D6" s="213"/>
      <c r="E6" s="56"/>
      <c r="F6" s="56"/>
      <c r="G6" s="56"/>
      <c r="H6" s="56"/>
      <c r="I6" s="64"/>
      <c r="J6" s="64"/>
      <c r="K6" s="114"/>
    </row>
    <row r="7" spans="2:11">
      <c r="B7" s="54" t="s">
        <v>230</v>
      </c>
      <c r="C7" s="213" t="s">
        <v>369</v>
      </c>
      <c r="D7" s="213"/>
      <c r="E7" s="56"/>
      <c r="F7" s="56"/>
      <c r="G7" s="56"/>
      <c r="H7" s="56"/>
      <c r="I7" s="64"/>
      <c r="J7" s="64"/>
      <c r="K7" s="114"/>
    </row>
    <row r="8" spans="2:11">
      <c r="B8" s="54" t="s">
        <v>231</v>
      </c>
      <c r="C8" s="213" t="s">
        <v>280</v>
      </c>
      <c r="D8" s="213"/>
      <c r="E8" s="56"/>
      <c r="F8" s="56"/>
      <c r="G8" s="56"/>
      <c r="H8" s="56"/>
      <c r="I8" s="64"/>
      <c r="J8" s="64"/>
      <c r="K8" s="114"/>
    </row>
    <row r="9" spans="2:11"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114"/>
    </row>
    <row r="10" ht="15" spans="2:11">
      <c r="B10" s="60" t="s">
        <v>232</v>
      </c>
      <c r="C10" s="56" t="s">
        <v>498</v>
      </c>
      <c r="D10" s="56"/>
      <c r="E10" s="56"/>
      <c r="F10" s="56"/>
      <c r="G10" s="56"/>
      <c r="H10" s="56"/>
      <c r="I10" s="56"/>
      <c r="J10" s="56"/>
      <c r="K10" s="114"/>
    </row>
    <row r="11" spans="2:11">
      <c r="B11" s="61"/>
      <c r="C11" s="62"/>
      <c r="D11" s="62"/>
      <c r="E11" s="62"/>
      <c r="F11" s="62"/>
      <c r="G11" s="62"/>
      <c r="H11" s="62"/>
      <c r="I11" s="62"/>
      <c r="J11" s="62"/>
      <c r="K11" s="115"/>
    </row>
    <row r="12" ht="17.6" spans="2:11">
      <c r="B12" s="63" t="s">
        <v>19</v>
      </c>
      <c r="C12" s="64"/>
      <c r="D12" s="505"/>
      <c r="E12" s="505"/>
      <c r="F12" s="69"/>
      <c r="G12" s="97"/>
      <c r="H12" s="116" t="s">
        <v>20</v>
      </c>
      <c r="I12" s="117"/>
      <c r="J12" s="64"/>
      <c r="K12" s="114"/>
    </row>
    <row r="13" spans="2:11">
      <c r="B13" s="66" t="s">
        <v>233</v>
      </c>
      <c r="C13" s="64"/>
      <c r="D13" s="67" t="s">
        <v>22</v>
      </c>
      <c r="E13" s="768"/>
      <c r="F13" s="769"/>
      <c r="G13" s="97" t="s">
        <v>24</v>
      </c>
      <c r="H13" s="64"/>
      <c r="I13" s="56"/>
      <c r="J13" s="56" t="s">
        <v>25</v>
      </c>
      <c r="K13" s="118"/>
    </row>
    <row r="14" spans="2:11">
      <c r="B14" s="66" t="s">
        <v>26</v>
      </c>
      <c r="C14" s="64"/>
      <c r="D14" s="78">
        <v>1</v>
      </c>
      <c r="E14" s="78"/>
      <c r="F14" s="64"/>
      <c r="G14" s="64"/>
      <c r="H14" s="57" t="s">
        <v>248</v>
      </c>
      <c r="I14" s="64"/>
      <c r="J14" s="161">
        <v>36794.64</v>
      </c>
      <c r="K14" s="114" t="s">
        <v>28</v>
      </c>
    </row>
    <row r="15" spans="2:11">
      <c r="B15" s="66" t="s">
        <v>54</v>
      </c>
      <c r="C15" s="64" t="s">
        <v>55</v>
      </c>
      <c r="D15" s="69">
        <v>5447</v>
      </c>
      <c r="E15" s="69"/>
      <c r="F15" s="69"/>
      <c r="G15" s="98">
        <f>SUM(D15:F15)</f>
        <v>5447</v>
      </c>
      <c r="H15" s="57" t="s">
        <v>249</v>
      </c>
      <c r="I15" s="64"/>
      <c r="J15" s="773">
        <v>100.844778289811</v>
      </c>
      <c r="K15" s="114" t="s">
        <v>56</v>
      </c>
    </row>
    <row r="16" spans="2:11">
      <c r="B16" s="66" t="s">
        <v>234</v>
      </c>
      <c r="C16" s="64" t="s">
        <v>55</v>
      </c>
      <c r="D16" s="69">
        <v>4812</v>
      </c>
      <c r="E16" s="69"/>
      <c r="F16" s="64"/>
      <c r="G16" s="98">
        <f>SUM(D16:F16)</f>
        <v>4812</v>
      </c>
      <c r="H16" s="56" t="str">
        <f>[32]Auswertung!L27</f>
        <v>Rindergülle</v>
      </c>
      <c r="I16" s="56"/>
      <c r="J16" s="163">
        <v>55.31</v>
      </c>
      <c r="K16" s="118" t="s">
        <v>59</v>
      </c>
    </row>
    <row r="17" spans="2:11">
      <c r="B17" s="57" t="s">
        <v>61</v>
      </c>
      <c r="C17" s="56" t="s">
        <v>62</v>
      </c>
      <c r="D17" s="70" t="s">
        <v>63</v>
      </c>
      <c r="E17" s="70"/>
      <c r="F17" s="78"/>
      <c r="G17" s="98"/>
      <c r="H17" s="56" t="str">
        <f>[32]Auswertung!M27</f>
        <v>Rindermist</v>
      </c>
      <c r="I17" s="56"/>
      <c r="J17" s="164">
        <v>20.26</v>
      </c>
      <c r="K17" s="118" t="s">
        <v>59</v>
      </c>
    </row>
    <row r="18" spans="2:11">
      <c r="B18" s="57" t="s">
        <v>66</v>
      </c>
      <c r="C18" s="56" t="s">
        <v>55</v>
      </c>
      <c r="D18" s="71">
        <v>0</v>
      </c>
      <c r="E18" s="71"/>
      <c r="F18" s="78"/>
      <c r="G18" s="98"/>
      <c r="H18" s="56" t="str">
        <f>[32]Auswertung!N27</f>
        <v>Grassilage</v>
      </c>
      <c r="I18" s="56"/>
      <c r="J18" s="164">
        <v>19.29</v>
      </c>
      <c r="K18" s="118" t="s">
        <v>59</v>
      </c>
    </row>
    <row r="19" spans="2:11">
      <c r="B19" s="57"/>
      <c r="C19" s="56"/>
      <c r="D19" s="70"/>
      <c r="E19" s="70"/>
      <c r="F19" s="70"/>
      <c r="G19" s="770"/>
      <c r="H19" s="56" t="str">
        <f>[32]Auswertung!O27</f>
        <v>Milchzuckermelasse</v>
      </c>
      <c r="I19" s="56"/>
      <c r="J19" s="164">
        <v>5.14</v>
      </c>
      <c r="K19" s="118" t="s">
        <v>59</v>
      </c>
    </row>
    <row r="20" ht="17.6" spans="2:11">
      <c r="B20" s="72" t="s">
        <v>69</v>
      </c>
      <c r="C20" s="73"/>
      <c r="D20" s="74"/>
      <c r="E20" s="74"/>
      <c r="F20" s="74"/>
      <c r="G20" s="100"/>
      <c r="H20" s="56"/>
      <c r="I20" s="56"/>
      <c r="J20" s="164"/>
      <c r="K20" s="118"/>
    </row>
    <row r="21" ht="28" customHeight="1" spans="2:11">
      <c r="B21" s="66" t="s">
        <v>71</v>
      </c>
      <c r="C21" s="64" t="s">
        <v>59</v>
      </c>
      <c r="D21" s="75">
        <v>8.28254088745925</v>
      </c>
      <c r="E21" s="78"/>
      <c r="F21" s="78"/>
      <c r="G21" s="102"/>
      <c r="H21" s="771" t="s">
        <v>513</v>
      </c>
      <c r="I21" s="774"/>
      <c r="J21" s="164">
        <v>80.6218052588093</v>
      </c>
      <c r="K21" s="114" t="s">
        <v>56</v>
      </c>
    </row>
    <row r="22" spans="2:11">
      <c r="B22" s="66" t="s">
        <v>73</v>
      </c>
      <c r="C22" s="64" t="s">
        <v>59</v>
      </c>
      <c r="D22" s="75">
        <v>70.4673284857461</v>
      </c>
      <c r="E22" s="78"/>
      <c r="F22" s="78"/>
      <c r="G22" s="78"/>
      <c r="H22" s="57"/>
      <c r="I22" s="56"/>
      <c r="J22" s="164"/>
      <c r="K22" s="118"/>
    </row>
    <row r="23" ht="18" spans="2:11">
      <c r="B23" s="66" t="s">
        <v>74</v>
      </c>
      <c r="C23" s="76" t="s">
        <v>75</v>
      </c>
      <c r="D23" s="75"/>
      <c r="E23" s="78"/>
      <c r="F23" s="78"/>
      <c r="G23" s="103" t="s">
        <v>267</v>
      </c>
      <c r="H23" s="125" t="s">
        <v>514</v>
      </c>
      <c r="I23" s="56"/>
      <c r="J23" s="165"/>
      <c r="K23" s="118"/>
    </row>
    <row r="24" ht="18" spans="2:11">
      <c r="B24" s="66" t="s">
        <v>78</v>
      </c>
      <c r="C24" s="56" t="s">
        <v>79</v>
      </c>
      <c r="D24" s="75"/>
      <c r="E24" s="75"/>
      <c r="F24" s="78" t="s">
        <v>77</v>
      </c>
      <c r="G24" s="104" t="s">
        <v>515</v>
      </c>
      <c r="H24" s="127" t="s">
        <v>80</v>
      </c>
      <c r="I24" s="56"/>
      <c r="J24" s="163">
        <v>17.5742729649459</v>
      </c>
      <c r="K24" s="118" t="s">
        <v>59</v>
      </c>
    </row>
    <row r="25" ht="18" spans="2:11">
      <c r="B25" s="57" t="s">
        <v>81</v>
      </c>
      <c r="C25" s="56" t="s">
        <v>59</v>
      </c>
      <c r="D25" s="78"/>
      <c r="E25" s="78"/>
      <c r="F25" s="78"/>
      <c r="G25" s="174" t="s">
        <v>427</v>
      </c>
      <c r="H25" s="128" t="s">
        <v>83</v>
      </c>
      <c r="I25" s="56"/>
      <c r="J25" s="163">
        <v>83.8530928647546</v>
      </c>
      <c r="K25" s="118" t="s">
        <v>59</v>
      </c>
    </row>
    <row r="26" ht="18" spans="2:11">
      <c r="B26" s="57" t="s">
        <v>84</v>
      </c>
      <c r="C26" s="56" t="s">
        <v>59</v>
      </c>
      <c r="D26" s="78"/>
      <c r="E26" s="78"/>
      <c r="F26" s="78"/>
      <c r="G26" s="102" t="s">
        <v>428</v>
      </c>
      <c r="H26" s="57" t="s">
        <v>86</v>
      </c>
      <c r="I26" s="56"/>
      <c r="J26" s="163">
        <v>51.2036044404803</v>
      </c>
      <c r="K26" s="118" t="s">
        <v>59</v>
      </c>
    </row>
    <row r="27" ht="18" spans="2:11">
      <c r="B27" s="66" t="s">
        <v>377</v>
      </c>
      <c r="C27" s="56" t="s">
        <v>88</v>
      </c>
      <c r="D27" s="78"/>
      <c r="E27" s="78"/>
      <c r="F27" s="78"/>
      <c r="G27" s="103" t="s">
        <v>299</v>
      </c>
      <c r="H27" s="129"/>
      <c r="I27" s="130"/>
      <c r="J27" s="130"/>
      <c r="K27" s="167"/>
    </row>
    <row r="28" ht="18" spans="2:11">
      <c r="B28" s="66" t="s">
        <v>90</v>
      </c>
      <c r="C28" s="56" t="s">
        <v>91</v>
      </c>
      <c r="D28" s="78"/>
      <c r="E28" s="78"/>
      <c r="F28" s="78" t="s">
        <v>77</v>
      </c>
      <c r="G28" s="103" t="s">
        <v>267</v>
      </c>
      <c r="H28" s="772" t="s">
        <v>516</v>
      </c>
      <c r="I28" s="775"/>
      <c r="J28" s="775"/>
      <c r="K28" s="776"/>
    </row>
    <row r="29" spans="2:11">
      <c r="B29" s="66" t="s">
        <v>32</v>
      </c>
      <c r="C29" s="56" t="s">
        <v>62</v>
      </c>
      <c r="D29" s="75">
        <v>7.95583333333333</v>
      </c>
      <c r="E29" s="75"/>
      <c r="F29" s="78"/>
      <c r="G29" s="78"/>
      <c r="H29" s="66" t="s">
        <v>26</v>
      </c>
      <c r="I29" s="64"/>
      <c r="J29" s="537">
        <v>1</v>
      </c>
      <c r="K29" s="114"/>
    </row>
    <row r="30" spans="2:11">
      <c r="B30" s="66" t="s">
        <v>94</v>
      </c>
      <c r="C30" s="56" t="s">
        <v>95</v>
      </c>
      <c r="D30" s="293">
        <v>42.4109224376731</v>
      </c>
      <c r="E30" s="299"/>
      <c r="F30" s="78"/>
      <c r="G30" s="70"/>
      <c r="H30" s="66" t="s">
        <v>96</v>
      </c>
      <c r="I30" s="92"/>
      <c r="J30" s="161">
        <v>4993</v>
      </c>
      <c r="K30" s="114" t="s">
        <v>55</v>
      </c>
    </row>
    <row r="31" ht="18" spans="2:12">
      <c r="B31" s="66" t="s">
        <v>97</v>
      </c>
      <c r="C31" s="64" t="s">
        <v>98</v>
      </c>
      <c r="D31" s="75">
        <v>2.545</v>
      </c>
      <c r="E31" s="75"/>
      <c r="F31" s="78"/>
      <c r="G31" s="78"/>
      <c r="H31" s="57" t="s">
        <v>103</v>
      </c>
      <c r="I31" s="64"/>
      <c r="J31" s="205">
        <v>2.8</v>
      </c>
      <c r="K31" s="114" t="s">
        <v>59</v>
      </c>
      <c r="L31" s="156" t="s">
        <v>517</v>
      </c>
    </row>
    <row r="32" ht="18" spans="2:11">
      <c r="B32" s="66" t="s">
        <v>100</v>
      </c>
      <c r="C32" s="64" t="s">
        <v>98</v>
      </c>
      <c r="D32" s="75">
        <v>5.61454545454546</v>
      </c>
      <c r="E32" s="75"/>
      <c r="F32" s="78"/>
      <c r="G32" s="78"/>
      <c r="H32" s="57" t="s">
        <v>518</v>
      </c>
      <c r="I32" s="64"/>
      <c r="J32" s="161">
        <v>6521</v>
      </c>
      <c r="K32" s="114" t="s">
        <v>55</v>
      </c>
    </row>
    <row r="33" spans="2:12">
      <c r="B33" s="66" t="s">
        <v>101</v>
      </c>
      <c r="C33" s="64" t="s">
        <v>102</v>
      </c>
      <c r="D33" s="78">
        <v>83</v>
      </c>
      <c r="E33" s="78"/>
      <c r="F33" s="78"/>
      <c r="G33" s="78" t="s">
        <v>77</v>
      </c>
      <c r="H33" s="66" t="s">
        <v>105</v>
      </c>
      <c r="I33" s="64"/>
      <c r="J33" s="162">
        <v>7.74</v>
      </c>
      <c r="K33" s="114" t="s">
        <v>59</v>
      </c>
      <c r="L33" s="210"/>
    </row>
    <row r="34" spans="2:12">
      <c r="B34" s="66" t="s">
        <v>104</v>
      </c>
      <c r="C34" s="64" t="s">
        <v>62</v>
      </c>
      <c r="D34" s="80">
        <v>0.172886517293102</v>
      </c>
      <c r="E34" s="80"/>
      <c r="F34" s="78"/>
      <c r="G34" s="78"/>
      <c r="H34" s="66" t="s">
        <v>106</v>
      </c>
      <c r="I34" s="64"/>
      <c r="J34" s="537">
        <v>70.1</v>
      </c>
      <c r="K34" s="64" t="s">
        <v>59</v>
      </c>
      <c r="L34" s="210"/>
    </row>
    <row r="35" ht="17.6" spans="2:12">
      <c r="B35" s="66"/>
      <c r="C35" s="64"/>
      <c r="D35" s="78"/>
      <c r="E35" s="80"/>
      <c r="F35" s="78"/>
      <c r="G35" s="78"/>
      <c r="H35" s="63" t="s">
        <v>519</v>
      </c>
      <c r="I35" s="133"/>
      <c r="J35" s="537"/>
      <c r="K35" s="64"/>
      <c r="L35" s="210"/>
    </row>
    <row r="36" spans="2:12">
      <c r="B36" s="66"/>
      <c r="C36" s="64"/>
      <c r="D36" s="78"/>
      <c r="E36" s="80"/>
      <c r="F36" s="78"/>
      <c r="G36" s="78"/>
      <c r="H36" s="66" t="s">
        <v>26</v>
      </c>
      <c r="I36" s="64"/>
      <c r="J36" s="537">
        <v>1</v>
      </c>
      <c r="K36" s="64"/>
      <c r="L36" s="210"/>
    </row>
    <row r="37" spans="2:11">
      <c r="B37" s="66"/>
      <c r="C37" s="64"/>
      <c r="D37" s="78"/>
      <c r="E37" s="80"/>
      <c r="F37" s="78"/>
      <c r="G37" s="78"/>
      <c r="H37" s="66" t="s">
        <v>96</v>
      </c>
      <c r="I37" s="92"/>
      <c r="J37" s="161">
        <v>6809</v>
      </c>
      <c r="K37" s="114" t="s">
        <v>55</v>
      </c>
    </row>
    <row r="38" spans="2:11">
      <c r="B38" s="66"/>
      <c r="C38" s="64"/>
      <c r="D38" s="78"/>
      <c r="E38" s="80"/>
      <c r="F38" s="78"/>
      <c r="G38" s="78"/>
      <c r="H38" s="66" t="s">
        <v>520</v>
      </c>
      <c r="I38" s="92"/>
      <c r="J38" s="69"/>
      <c r="K38" s="114"/>
    </row>
    <row r="39" ht="17.6" spans="2:11">
      <c r="B39" s="51" t="s">
        <v>107</v>
      </c>
      <c r="C39" s="158"/>
      <c r="D39" s="83"/>
      <c r="E39" s="83"/>
      <c r="F39" s="83"/>
      <c r="G39" s="106"/>
      <c r="H39" s="139" t="s">
        <v>108</v>
      </c>
      <c r="I39" s="140"/>
      <c r="J39" s="140"/>
      <c r="K39" s="152"/>
    </row>
    <row r="40" spans="2:11">
      <c r="B40" s="84"/>
      <c r="C40" s="78"/>
      <c r="D40" s="78"/>
      <c r="E40" s="64"/>
      <c r="F40" s="78"/>
      <c r="G40" s="102"/>
      <c r="H40" s="66"/>
      <c r="I40" s="64" t="s">
        <v>109</v>
      </c>
      <c r="J40" s="78" t="s">
        <v>239</v>
      </c>
      <c r="K40" s="114"/>
    </row>
    <row r="41" spans="2:11">
      <c r="B41" s="85" t="s">
        <v>111</v>
      </c>
      <c r="C41" s="64" t="s">
        <v>59</v>
      </c>
      <c r="D41" s="78">
        <v>34</v>
      </c>
      <c r="E41" s="64"/>
      <c r="F41" s="78"/>
      <c r="G41" s="102"/>
      <c r="H41" s="125" t="s">
        <v>112</v>
      </c>
      <c r="I41" s="64"/>
      <c r="J41" s="64"/>
      <c r="K41" s="114"/>
    </row>
    <row r="42" ht="18" spans="2:11">
      <c r="B42" s="84"/>
      <c r="C42" s="78"/>
      <c r="D42" s="78"/>
      <c r="E42" s="64"/>
      <c r="F42" s="78"/>
      <c r="G42" s="102"/>
      <c r="H42" s="66"/>
      <c r="I42" s="64" t="s">
        <v>113</v>
      </c>
      <c r="J42" s="172" t="s">
        <v>114</v>
      </c>
      <c r="K42" s="173">
        <v>51.8175342465753</v>
      </c>
    </row>
    <row r="43" ht="18" spans="2:11">
      <c r="B43" s="86"/>
      <c r="C43" s="77"/>
      <c r="D43" s="67" t="s">
        <v>115</v>
      </c>
      <c r="E43" s="67" t="s">
        <v>273</v>
      </c>
      <c r="F43" s="67"/>
      <c r="G43" s="67" t="s">
        <v>77</v>
      </c>
      <c r="H43" s="66"/>
      <c r="I43" s="64" t="s">
        <v>113</v>
      </c>
      <c r="J43" s="78" t="s">
        <v>116</v>
      </c>
      <c r="K43" s="173">
        <v>42.0739726027397</v>
      </c>
    </row>
    <row r="44" ht="18" spans="2:11">
      <c r="B44" s="66" t="s">
        <v>118</v>
      </c>
      <c r="C44" s="64"/>
      <c r="D44" s="78" t="s">
        <v>119</v>
      </c>
      <c r="E44" s="78" t="s">
        <v>119</v>
      </c>
      <c r="F44" s="78"/>
      <c r="G44" s="102"/>
      <c r="H44" s="66"/>
      <c r="I44" s="64" t="s">
        <v>113</v>
      </c>
      <c r="J44" s="78" t="s">
        <v>120</v>
      </c>
      <c r="K44" s="173">
        <v>0.555616438356162</v>
      </c>
    </row>
    <row r="45" ht="18" spans="2:11">
      <c r="B45" s="66" t="s">
        <v>121</v>
      </c>
      <c r="C45" s="64" t="s">
        <v>122</v>
      </c>
      <c r="D45" s="77">
        <v>360</v>
      </c>
      <c r="E45" s="77">
        <v>380</v>
      </c>
      <c r="F45" s="77"/>
      <c r="G45" s="102"/>
      <c r="H45" s="66"/>
      <c r="I45" s="64" t="s">
        <v>123</v>
      </c>
      <c r="J45" s="172" t="s">
        <v>124</v>
      </c>
      <c r="K45" s="173">
        <v>5.12328767123288</v>
      </c>
    </row>
    <row r="46" spans="2:11">
      <c r="B46" s="66" t="s">
        <v>125</v>
      </c>
      <c r="C46" s="64" t="s">
        <v>122</v>
      </c>
      <c r="D46" s="77">
        <v>387</v>
      </c>
      <c r="E46" s="77">
        <v>387</v>
      </c>
      <c r="F46" s="77"/>
      <c r="G46" s="102"/>
      <c r="H46" s="148" t="s">
        <v>126</v>
      </c>
      <c r="I46" s="64"/>
      <c r="J46" s="64"/>
      <c r="K46" s="114"/>
    </row>
    <row r="47" spans="2:11">
      <c r="B47" s="66" t="s">
        <v>127</v>
      </c>
      <c r="C47" s="64" t="s">
        <v>59</v>
      </c>
      <c r="D47" s="78">
        <v>39.3</v>
      </c>
      <c r="E47" s="78">
        <v>39.3</v>
      </c>
      <c r="F47" s="78"/>
      <c r="G47" s="102"/>
      <c r="H47" s="64"/>
      <c r="I47" s="64"/>
      <c r="J47" s="78" t="s">
        <v>128</v>
      </c>
      <c r="K47" s="102" t="s">
        <v>129</v>
      </c>
    </row>
    <row r="48" spans="2:12">
      <c r="B48" s="66" t="s">
        <v>130</v>
      </c>
      <c r="C48" s="64" t="s">
        <v>59</v>
      </c>
      <c r="D48" s="78">
        <v>41.5</v>
      </c>
      <c r="E48" s="78">
        <v>40.9</v>
      </c>
      <c r="F48" s="78"/>
      <c r="G48" s="102"/>
      <c r="H48" s="66"/>
      <c r="I48" s="64" t="s">
        <v>131</v>
      </c>
      <c r="J48" s="77">
        <v>89.7098827192866</v>
      </c>
      <c r="K48" s="77">
        <v>46.4854492006289</v>
      </c>
      <c r="L48" s="210"/>
    </row>
    <row r="49" spans="2:12">
      <c r="B49" s="57" t="s">
        <v>132</v>
      </c>
      <c r="C49" s="56" t="s">
        <v>62</v>
      </c>
      <c r="D49" s="70" t="s">
        <v>133</v>
      </c>
      <c r="E49" s="70" t="s">
        <v>133</v>
      </c>
      <c r="F49" s="78"/>
      <c r="G49" s="102"/>
      <c r="H49" s="66"/>
      <c r="I49" s="64" t="s">
        <v>134</v>
      </c>
      <c r="J49" s="77">
        <v>608.756813943066</v>
      </c>
      <c r="K49" s="77">
        <v>315.442770543309</v>
      </c>
      <c r="L49" s="210" t="s">
        <v>521</v>
      </c>
    </row>
    <row r="50" spans="2:11">
      <c r="B50" s="66" t="s">
        <v>135</v>
      </c>
      <c r="C50" s="64" t="s">
        <v>240</v>
      </c>
      <c r="D50" s="71">
        <v>8489</v>
      </c>
      <c r="E50" s="71">
        <v>8430</v>
      </c>
      <c r="F50" s="107"/>
      <c r="G50" s="102"/>
      <c r="H50" s="148" t="s">
        <v>137</v>
      </c>
      <c r="I50" s="64"/>
      <c r="J50" s="64"/>
      <c r="K50" s="114"/>
    </row>
    <row r="51" spans="2:12">
      <c r="B51" s="57" t="s">
        <v>138</v>
      </c>
      <c r="C51" s="64" t="s">
        <v>240</v>
      </c>
      <c r="D51" s="69">
        <v>8665.08611111111</v>
      </c>
      <c r="E51" s="69">
        <v>8214.92105263158</v>
      </c>
      <c r="F51" s="78"/>
      <c r="G51" s="98"/>
      <c r="H51" s="66"/>
      <c r="I51" s="64" t="s">
        <v>139</v>
      </c>
      <c r="J51" s="69">
        <v>17098.9068493151</v>
      </c>
      <c r="K51" s="98"/>
      <c r="L51" s="156" t="s">
        <v>522</v>
      </c>
    </row>
    <row r="52" spans="2:11">
      <c r="B52" s="57" t="s">
        <v>140</v>
      </c>
      <c r="C52" s="64" t="s">
        <v>59</v>
      </c>
      <c r="D52" s="293">
        <v>99</v>
      </c>
      <c r="E52" s="293">
        <v>94</v>
      </c>
      <c r="F52" s="78"/>
      <c r="G52" s="102"/>
      <c r="H52" s="66"/>
      <c r="I52" s="64" t="s">
        <v>141</v>
      </c>
      <c r="J52" s="69">
        <v>169.619841368199</v>
      </c>
      <c r="K52" s="114"/>
    </row>
    <row r="53" spans="2:12">
      <c r="B53" s="87"/>
      <c r="C53" s="64"/>
      <c r="D53" s="78"/>
      <c r="E53" s="78"/>
      <c r="F53" s="78"/>
      <c r="G53" s="102"/>
      <c r="H53" s="65"/>
      <c r="I53" s="64"/>
      <c r="J53" s="78"/>
      <c r="K53" s="114"/>
      <c r="L53" s="156" t="s">
        <v>523</v>
      </c>
    </row>
    <row r="54" spans="2:11">
      <c r="B54" s="88" t="s">
        <v>142</v>
      </c>
      <c r="C54" s="89"/>
      <c r="D54" s="89"/>
      <c r="E54" s="108"/>
      <c r="F54" s="99"/>
      <c r="G54" s="109"/>
      <c r="H54" s="78"/>
      <c r="I54" s="78"/>
      <c r="J54" s="78"/>
      <c r="K54" s="114"/>
    </row>
    <row r="55" ht="17.6" spans="2:11">
      <c r="B55" s="90" t="s">
        <v>143</v>
      </c>
      <c r="C55" s="78"/>
      <c r="D55" s="64"/>
      <c r="E55" s="64"/>
      <c r="F55" s="64"/>
      <c r="G55" s="110" t="s">
        <v>144</v>
      </c>
      <c r="H55" s="83"/>
      <c r="I55" s="140"/>
      <c r="J55" s="140"/>
      <c r="K55" s="152"/>
    </row>
    <row r="56" spans="2:11">
      <c r="B56" s="66"/>
      <c r="C56" s="91" t="s">
        <v>145</v>
      </c>
      <c r="D56" s="92"/>
      <c r="E56" s="92"/>
      <c r="F56" s="64"/>
      <c r="G56" s="64"/>
      <c r="H56" s="78" t="s">
        <v>145</v>
      </c>
      <c r="I56" s="64"/>
      <c r="J56" s="64"/>
      <c r="K56" s="114"/>
    </row>
    <row r="57" spans="2:11">
      <c r="B57" s="66" t="s">
        <v>146</v>
      </c>
      <c r="C57" s="93">
        <v>247032</v>
      </c>
      <c r="D57" s="767">
        <v>3.95814776911958</v>
      </c>
      <c r="E57" s="111" t="s">
        <v>524</v>
      </c>
      <c r="F57" s="64"/>
      <c r="G57" s="64" t="s">
        <v>148</v>
      </c>
      <c r="H57" s="69">
        <v>1095541.64675</v>
      </c>
      <c r="I57" s="767">
        <v>21.7900737613041</v>
      </c>
      <c r="J57" s="111" t="s">
        <v>149</v>
      </c>
      <c r="K57" s="114"/>
    </row>
    <row r="58" spans="2:11">
      <c r="B58" s="66"/>
      <c r="C58" s="69"/>
      <c r="D58" s="295"/>
      <c r="E58" s="111"/>
      <c r="F58" s="64"/>
      <c r="G58" s="64" t="s">
        <v>274</v>
      </c>
      <c r="H58" s="69">
        <v>76401.5095</v>
      </c>
      <c r="I58" s="767">
        <v>1.51960861772686</v>
      </c>
      <c r="J58" s="111" t="s">
        <v>149</v>
      </c>
      <c r="K58" s="114"/>
    </row>
    <row r="59" spans="2:11">
      <c r="B59" s="66"/>
      <c r="C59" s="69"/>
      <c r="D59" s="80"/>
      <c r="E59" s="111"/>
      <c r="F59" s="64"/>
      <c r="G59" s="64" t="s">
        <v>525</v>
      </c>
      <c r="H59" s="69"/>
      <c r="I59" s="294"/>
      <c r="J59" s="111"/>
      <c r="K59" s="114"/>
    </row>
    <row r="60" spans="2:11">
      <c r="B60" s="81"/>
      <c r="C60" s="94"/>
      <c r="D60" s="94"/>
      <c r="E60" s="94"/>
      <c r="F60" s="94"/>
      <c r="G60" s="94"/>
      <c r="H60" s="89"/>
      <c r="I60" s="304"/>
      <c r="J60" s="153"/>
      <c r="K60" s="115" t="s">
        <v>77</v>
      </c>
    </row>
    <row r="62" spans="3:3">
      <c r="C62" s="156" t="s">
        <v>526</v>
      </c>
    </row>
  </sheetData>
  <mergeCells count="3">
    <mergeCell ref="B2:K2"/>
    <mergeCell ref="H21:I21"/>
    <mergeCell ref="H28:K28"/>
  </mergeCells>
  <pageMargins left="0.7" right="0.7" top="0.787401575" bottom="0.787401575" header="0.3" footer="0.3"/>
  <headerFooter/>
  <ignoredErrors>
    <ignoredError sqref="C5" numberStoredAsText="1"/>
  </ignoredError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M59"/>
  <sheetViews>
    <sheetView zoomScale="85" zoomScaleNormal="85" workbookViewId="0">
      <selection activeCell="A1" sqref="A1"/>
    </sheetView>
  </sheetViews>
  <sheetFormatPr defaultColWidth="11.5" defaultRowHeight="16.8"/>
  <cols>
    <col min="1" max="1" width="14.3365384615385" customWidth="1"/>
    <col min="6" max="6" width="15.3365384615385" customWidth="1"/>
    <col min="7" max="7" width="14.5" customWidth="1"/>
  </cols>
  <sheetData>
    <row r="1" spans="1:7">
      <c r="A1" t="s">
        <v>154</v>
      </c>
      <c r="B1" t="s">
        <v>155</v>
      </c>
      <c r="C1" t="s">
        <v>155</v>
      </c>
      <c r="D1" s="544" t="s">
        <v>157</v>
      </c>
      <c r="E1" t="s">
        <v>527</v>
      </c>
      <c r="F1" t="s">
        <v>385</v>
      </c>
      <c r="G1" t="s">
        <v>386</v>
      </c>
    </row>
    <row r="2" spans="1:6">
      <c r="A2" s="228"/>
      <c r="B2" s="228" t="s">
        <v>59</v>
      </c>
      <c r="C2" s="228" t="s">
        <v>59</v>
      </c>
      <c r="D2" s="228" t="s">
        <v>59</v>
      </c>
      <c r="E2" s="228" t="s">
        <v>59</v>
      </c>
      <c r="F2" s="228" t="s">
        <v>56</v>
      </c>
    </row>
    <row r="3" spans="1:7">
      <c r="A3" s="245">
        <v>42705</v>
      </c>
      <c r="B3" s="191">
        <v>55.6930693069307</v>
      </c>
      <c r="C3" s="191">
        <v>17.9042904290429</v>
      </c>
      <c r="D3" s="191">
        <v>18.8943894389439</v>
      </c>
      <c r="E3" s="191">
        <v>7.50825082508251</v>
      </c>
      <c r="F3" s="199">
        <v>78.1935483870968</v>
      </c>
      <c r="G3" s="203">
        <f t="shared" ref="G3:G15" si="0">SUM(B3:E3)</f>
        <v>100</v>
      </c>
    </row>
    <row r="4" spans="1:7">
      <c r="A4" s="245">
        <v>42736</v>
      </c>
      <c r="B4" s="191">
        <v>52.4443069306931</v>
      </c>
      <c r="C4" s="191">
        <v>25.0618811881188</v>
      </c>
      <c r="D4" s="191">
        <v>18.4715346534653</v>
      </c>
      <c r="E4" s="191">
        <v>4.02227722772277</v>
      </c>
      <c r="F4" s="199">
        <v>104.258064516129</v>
      </c>
      <c r="G4" s="203">
        <f t="shared" si="0"/>
        <v>100</v>
      </c>
    </row>
    <row r="5" spans="1:7">
      <c r="A5" s="245">
        <v>42767</v>
      </c>
      <c r="B5" s="191">
        <v>58.1136053410458</v>
      </c>
      <c r="C5" s="191">
        <v>23.5833119349128</v>
      </c>
      <c r="D5" s="191">
        <v>13.8188747584231</v>
      </c>
      <c r="E5" s="191">
        <v>4.48420796561837</v>
      </c>
      <c r="F5" s="199">
        <v>105.704285714286</v>
      </c>
      <c r="G5" s="203">
        <f t="shared" si="0"/>
        <v>100</v>
      </c>
    </row>
    <row r="6" spans="1:7">
      <c r="A6" s="245">
        <v>42795</v>
      </c>
      <c r="B6" s="191">
        <v>56.110490908347</v>
      </c>
      <c r="C6" s="191">
        <v>23.0871290716636</v>
      </c>
      <c r="D6" s="191">
        <v>15.4303849997954</v>
      </c>
      <c r="E6" s="191">
        <v>5.37199502019393</v>
      </c>
      <c r="F6" s="199">
        <v>110.381290322581</v>
      </c>
      <c r="G6" s="203">
        <f t="shared" si="0"/>
        <v>100</v>
      </c>
    </row>
    <row r="7" spans="1:7">
      <c r="A7" s="245">
        <v>42826</v>
      </c>
      <c r="B7" s="191">
        <v>57.3245001236739</v>
      </c>
      <c r="C7" s="191">
        <v>19.9215172441455</v>
      </c>
      <c r="D7" s="191">
        <v>16.6124061582892</v>
      </c>
      <c r="E7" s="191">
        <v>6.14157647389145</v>
      </c>
      <c r="F7" s="199">
        <v>99.7246666666667</v>
      </c>
      <c r="G7" s="203">
        <f t="shared" si="0"/>
        <v>100</v>
      </c>
    </row>
    <row r="8" spans="1:7">
      <c r="A8" s="245">
        <v>42856</v>
      </c>
      <c r="B8" s="191">
        <v>56.6860744413059</v>
      </c>
      <c r="C8" s="191">
        <v>23.379002453194</v>
      </c>
      <c r="D8" s="191">
        <v>13.931323379643</v>
      </c>
      <c r="E8" s="191">
        <v>6.00359972585718</v>
      </c>
      <c r="F8" s="199">
        <v>100.724516129032</v>
      </c>
      <c r="G8" s="203">
        <f t="shared" si="0"/>
        <v>100</v>
      </c>
    </row>
    <row r="9" spans="1:7">
      <c r="A9" s="245">
        <v>42887</v>
      </c>
      <c r="B9" s="191">
        <v>52.9509025566745</v>
      </c>
      <c r="C9" s="191">
        <v>19.9505336084503</v>
      </c>
      <c r="D9" s="191">
        <v>21.692789111928</v>
      </c>
      <c r="E9" s="191">
        <v>5.40577472294721</v>
      </c>
      <c r="F9" s="199">
        <v>97.5746666666667</v>
      </c>
      <c r="G9" s="203">
        <f t="shared" si="0"/>
        <v>100</v>
      </c>
    </row>
    <row r="10" spans="1:7">
      <c r="A10" s="245">
        <v>42917</v>
      </c>
      <c r="B10" s="191">
        <v>56.735612047857</v>
      </c>
      <c r="C10" s="191">
        <v>17.4851857012986</v>
      </c>
      <c r="D10" s="191">
        <v>20.5708067074101</v>
      </c>
      <c r="E10" s="191">
        <v>5.20839554343426</v>
      </c>
      <c r="F10" s="199">
        <v>97.2251612903226</v>
      </c>
      <c r="G10" s="203">
        <f t="shared" si="0"/>
        <v>100</v>
      </c>
    </row>
    <row r="11" spans="1:7">
      <c r="A11" s="245">
        <v>42948</v>
      </c>
      <c r="B11" s="191">
        <v>60.0097515846325</v>
      </c>
      <c r="C11" s="191">
        <v>16.5026816857739</v>
      </c>
      <c r="D11" s="191">
        <v>17.5966094490355</v>
      </c>
      <c r="E11" s="191">
        <v>5.89095728055809</v>
      </c>
      <c r="F11" s="199">
        <v>103.209032258065</v>
      </c>
      <c r="G11" s="203">
        <f t="shared" si="0"/>
        <v>100</v>
      </c>
    </row>
    <row r="12" spans="1:7">
      <c r="A12" s="245">
        <v>42979</v>
      </c>
      <c r="B12" s="191">
        <v>52.8274280569214</v>
      </c>
      <c r="C12" s="191">
        <v>20.5752632578555</v>
      </c>
      <c r="D12" s="191">
        <v>22.0172902554146</v>
      </c>
      <c r="E12" s="191">
        <v>4.58001842980846</v>
      </c>
      <c r="F12" s="199">
        <v>94.774</v>
      </c>
      <c r="G12" s="203">
        <f t="shared" si="0"/>
        <v>100</v>
      </c>
    </row>
    <row r="13" spans="1:7">
      <c r="A13" s="245">
        <v>43009</v>
      </c>
      <c r="B13" s="191">
        <v>53.1972122269907</v>
      </c>
      <c r="C13" s="191">
        <v>17.4235813080537</v>
      </c>
      <c r="D13" s="191">
        <v>26.2399732220774</v>
      </c>
      <c r="E13" s="191">
        <v>3.13923324287815</v>
      </c>
      <c r="F13" s="199">
        <v>107.936774193548</v>
      </c>
      <c r="G13" s="203">
        <f t="shared" si="0"/>
        <v>100</v>
      </c>
    </row>
    <row r="14" spans="1:7">
      <c r="A14" s="246">
        <v>43040</v>
      </c>
      <c r="B14" s="247">
        <v>51.6157853749238</v>
      </c>
      <c r="C14" s="247">
        <v>18.2013558953679</v>
      </c>
      <c r="D14" s="247">
        <v>26.2304780648005</v>
      </c>
      <c r="E14" s="247">
        <v>3.95238066490791</v>
      </c>
      <c r="F14" s="227">
        <v>110.431333333333</v>
      </c>
      <c r="G14" s="259">
        <f t="shared" si="0"/>
        <v>100</v>
      </c>
    </row>
    <row r="15" spans="1:7">
      <c r="A15" t="s">
        <v>474</v>
      </c>
      <c r="B15" s="203">
        <f>AVERAGE(B3:B14)</f>
        <v>55.3090615749997</v>
      </c>
      <c r="C15" s="203">
        <f>AVERAGE(C3:C14)</f>
        <v>20.2563111481565</v>
      </c>
      <c r="D15" s="203">
        <f>AVERAGE(D3:D14)</f>
        <v>19.2922383499355</v>
      </c>
      <c r="E15" s="203">
        <f>AVERAGE(E3:E14)</f>
        <v>5.14238892690836</v>
      </c>
      <c r="F15" s="199">
        <f>AVERAGE(F3:F14)</f>
        <v>100.844778289811</v>
      </c>
      <c r="G15" s="203">
        <f t="shared" si="0"/>
        <v>100</v>
      </c>
    </row>
    <row r="16" spans="6:6">
      <c r="F16" t="s">
        <v>528</v>
      </c>
    </row>
    <row r="19" spans="1:12">
      <c r="A19" s="458"/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</row>
    <row r="20" spans="1:12">
      <c r="A20" s="458"/>
      <c r="B20" s="458"/>
      <c r="C20" s="458"/>
      <c r="D20" s="458"/>
      <c r="E20" s="458"/>
      <c r="F20" s="458"/>
      <c r="G20" s="458"/>
      <c r="H20" s="458"/>
      <c r="I20" s="458"/>
      <c r="J20" s="458"/>
      <c r="K20" s="458"/>
      <c r="L20" s="458"/>
    </row>
    <row r="21" spans="1:12">
      <c r="A21" s="458"/>
      <c r="B21" s="458"/>
      <c r="C21" s="458"/>
      <c r="D21" s="458" t="s">
        <v>104</v>
      </c>
      <c r="E21" t="s">
        <v>22</v>
      </c>
      <c r="F21" s="458"/>
      <c r="G21" s="458"/>
      <c r="H21" s="458"/>
      <c r="I21" s="458"/>
      <c r="J21" s="458"/>
      <c r="K21" s="458"/>
      <c r="L21" s="458"/>
    </row>
    <row r="22" ht="34" spans="1:12">
      <c r="A22" s="458"/>
      <c r="B22" s="458"/>
      <c r="C22" s="458"/>
      <c r="D22" s="460"/>
      <c r="E22" s="260" t="s">
        <v>475</v>
      </c>
      <c r="F22" s="260"/>
      <c r="G22" s="458"/>
      <c r="H22" s="458"/>
      <c r="I22" s="458"/>
      <c r="J22" s="458"/>
      <c r="K22" s="458"/>
      <c r="L22" s="458"/>
    </row>
    <row r="23" spans="1:12">
      <c r="A23" s="458"/>
      <c r="B23" s="458"/>
      <c r="C23" s="458"/>
      <c r="D23" s="461">
        <f t="shared" ref="D23:D34" si="1">A3</f>
        <v>42705</v>
      </c>
      <c r="E23" s="472">
        <v>0.235</v>
      </c>
      <c r="F23" s="261"/>
      <c r="G23" s="458"/>
      <c r="H23" s="458"/>
      <c r="I23" s="458"/>
      <c r="J23" s="458"/>
      <c r="K23" s="458"/>
      <c r="L23" s="458"/>
    </row>
    <row r="24" spans="1:12">
      <c r="A24" s="458"/>
      <c r="B24" s="458"/>
      <c r="C24" s="458"/>
      <c r="D24" s="461">
        <f t="shared" si="1"/>
        <v>42736</v>
      </c>
      <c r="E24" s="472">
        <v>0.155686789460529</v>
      </c>
      <c r="F24" s="261"/>
      <c r="G24" s="458"/>
      <c r="H24" s="458"/>
      <c r="I24" s="458"/>
      <c r="J24" s="458"/>
      <c r="K24" s="458"/>
      <c r="L24" s="458"/>
    </row>
    <row r="25" spans="1:12">
      <c r="A25" s="458"/>
      <c r="B25" s="458"/>
      <c r="C25" s="458"/>
      <c r="D25" s="461">
        <f t="shared" si="1"/>
        <v>42767</v>
      </c>
      <c r="E25" s="472">
        <v>0.17640815019527</v>
      </c>
      <c r="F25" s="261"/>
      <c r="G25" s="458"/>
      <c r="H25" s="458"/>
      <c r="I25" s="458"/>
      <c r="J25" s="458"/>
      <c r="K25" s="458"/>
      <c r="L25" s="458"/>
    </row>
    <row r="26" spans="1:12">
      <c r="A26" s="458"/>
      <c r="B26" s="458"/>
      <c r="C26" s="458"/>
      <c r="D26" s="461">
        <f t="shared" si="1"/>
        <v>42795</v>
      </c>
      <c r="E26" s="472">
        <v>0.144993943613718</v>
      </c>
      <c r="F26" s="261"/>
      <c r="G26" s="458"/>
      <c r="H26" s="458"/>
      <c r="I26" s="458"/>
      <c r="J26" s="458"/>
      <c r="K26" s="458"/>
      <c r="L26" s="458"/>
    </row>
    <row r="27" spans="1:12">
      <c r="A27" s="458"/>
      <c r="B27" s="458"/>
      <c r="C27" s="458"/>
      <c r="D27" s="461">
        <f t="shared" si="1"/>
        <v>42826</v>
      </c>
      <c r="E27" s="472">
        <v>0.196874177820394</v>
      </c>
      <c r="F27" s="261"/>
      <c r="G27" s="458"/>
      <c r="H27" s="458"/>
      <c r="I27" s="458"/>
      <c r="J27" s="458"/>
      <c r="K27" s="458"/>
      <c r="L27" s="458"/>
    </row>
    <row r="28" spans="1:12">
      <c r="A28" s="458"/>
      <c r="B28" s="458"/>
      <c r="C28" s="458"/>
      <c r="D28" s="461">
        <f t="shared" si="1"/>
        <v>42856</v>
      </c>
      <c r="E28" s="472">
        <v>0.169168579711215</v>
      </c>
      <c r="F28" s="261"/>
      <c r="G28" s="458"/>
      <c r="H28" s="458"/>
      <c r="I28" s="458"/>
      <c r="J28" s="458"/>
      <c r="K28" s="458"/>
      <c r="L28" s="458"/>
    </row>
    <row r="29" spans="1:12">
      <c r="A29" s="458"/>
      <c r="B29" s="458"/>
      <c r="C29" s="458"/>
      <c r="D29" s="461">
        <f t="shared" si="1"/>
        <v>42887</v>
      </c>
      <c r="E29" s="472">
        <v>0.187056944485868</v>
      </c>
      <c r="F29" s="261"/>
      <c r="G29" s="458"/>
      <c r="H29" s="458"/>
      <c r="I29" s="458"/>
      <c r="J29" s="458"/>
      <c r="K29" s="458"/>
      <c r="L29" s="458"/>
    </row>
    <row r="30" spans="1:12">
      <c r="A30" s="458"/>
      <c r="B30" s="458"/>
      <c r="C30" s="458"/>
      <c r="D30" s="461">
        <f t="shared" si="1"/>
        <v>42917</v>
      </c>
      <c r="E30" s="472">
        <v>0.148777908255761</v>
      </c>
      <c r="F30" s="261"/>
      <c r="G30" s="458"/>
      <c r="H30" s="458"/>
      <c r="I30" s="458"/>
      <c r="J30" s="458"/>
      <c r="K30" s="458"/>
      <c r="L30" s="458"/>
    </row>
    <row r="31" spans="1:12">
      <c r="A31" s="458"/>
      <c r="B31" s="458"/>
      <c r="C31" s="458"/>
      <c r="D31" s="461">
        <f t="shared" si="1"/>
        <v>42948</v>
      </c>
      <c r="E31" s="472" t="s">
        <v>13</v>
      </c>
      <c r="F31" s="261"/>
      <c r="G31" s="458"/>
      <c r="H31" s="458"/>
      <c r="I31" s="458"/>
      <c r="J31" s="458"/>
      <c r="K31" s="458"/>
      <c r="L31" s="458"/>
    </row>
    <row r="32" spans="1:12">
      <c r="A32" s="458"/>
      <c r="B32" s="458"/>
      <c r="C32" s="458"/>
      <c r="D32" s="461">
        <f t="shared" si="1"/>
        <v>42979</v>
      </c>
      <c r="E32" s="472">
        <v>0.180974104037066</v>
      </c>
      <c r="F32" s="261"/>
      <c r="G32" s="458"/>
      <c r="H32" s="458"/>
      <c r="I32" s="458"/>
      <c r="J32" s="458"/>
      <c r="K32" s="458"/>
      <c r="L32" s="458"/>
    </row>
    <row r="33" spans="1:12">
      <c r="A33" s="458"/>
      <c r="B33" s="458"/>
      <c r="C33" s="458"/>
      <c r="D33" s="461">
        <f t="shared" si="1"/>
        <v>43009</v>
      </c>
      <c r="E33" s="472">
        <v>0.157714837293516</v>
      </c>
      <c r="F33" s="261"/>
      <c r="G33" t="s">
        <v>77</v>
      </c>
      <c r="H33" s="458"/>
      <c r="I33" s="458"/>
      <c r="J33" s="458"/>
      <c r="K33" s="458"/>
      <c r="L33" s="458"/>
    </row>
    <row r="34" spans="1:12">
      <c r="A34" s="458"/>
      <c r="B34" s="458"/>
      <c r="C34" s="458"/>
      <c r="D34" s="461">
        <f t="shared" si="1"/>
        <v>43040</v>
      </c>
      <c r="E34" s="472">
        <v>0.149096255350788</v>
      </c>
      <c r="F34" s="262"/>
      <c r="G34" s="458"/>
      <c r="H34" s="458"/>
      <c r="I34" s="458"/>
      <c r="J34" s="458"/>
      <c r="K34" s="458"/>
      <c r="L34" s="458"/>
    </row>
    <row r="35" ht="17.55" spans="1:12">
      <c r="A35" s="458"/>
      <c r="B35" s="458"/>
      <c r="C35" s="458"/>
      <c r="D35" s="248"/>
      <c r="E35" s="248">
        <f>AVERAGE(E23:E34)</f>
        <v>0.172886517293102</v>
      </c>
      <c r="F35" s="248"/>
      <c r="G35" s="458"/>
      <c r="H35" s="458"/>
      <c r="I35" s="458"/>
      <c r="J35" s="458"/>
      <c r="K35" s="458"/>
      <c r="L35" s="458"/>
    </row>
    <row r="36" ht="17.55"/>
    <row r="38" spans="2:3">
      <c r="B38" s="48"/>
      <c r="C38" s="48"/>
    </row>
    <row r="39" s="48" customFormat="1" ht="84" spans="2:12">
      <c r="B39" s="48" t="s">
        <v>393</v>
      </c>
      <c r="C39" s="48" t="s">
        <v>394</v>
      </c>
      <c r="D39" s="48" t="s">
        <v>395</v>
      </c>
      <c r="E39" s="48" t="s">
        <v>396</v>
      </c>
      <c r="F39" s="48" t="s">
        <v>183</v>
      </c>
      <c r="G39" s="48" t="s">
        <v>184</v>
      </c>
      <c r="H39" s="48" t="s">
        <v>397</v>
      </c>
      <c r="I39" s="48" t="s">
        <v>398</v>
      </c>
      <c r="J39" s="48" t="s">
        <v>399</v>
      </c>
      <c r="K39" s="48" t="s">
        <v>400</v>
      </c>
      <c r="L39" s="48" t="s">
        <v>401</v>
      </c>
    </row>
    <row r="40" s="48" customFormat="1" ht="34" spans="1:12">
      <c r="A40" s="760" t="s">
        <v>154</v>
      </c>
      <c r="B40" s="760" t="s">
        <v>185</v>
      </c>
      <c r="C40" s="760" t="s">
        <v>185</v>
      </c>
      <c r="D40" s="760" t="s">
        <v>185</v>
      </c>
      <c r="E40" s="760" t="s">
        <v>185</v>
      </c>
      <c r="F40" s="760" t="s">
        <v>59</v>
      </c>
      <c r="G40" s="760" t="s">
        <v>402</v>
      </c>
      <c r="H40" s="760" t="s">
        <v>185</v>
      </c>
      <c r="I40" s="760" t="s">
        <v>403</v>
      </c>
      <c r="J40" s="760" t="s">
        <v>404</v>
      </c>
      <c r="K40" s="760" t="s">
        <v>122</v>
      </c>
      <c r="L40" s="760" t="s">
        <v>122</v>
      </c>
    </row>
    <row r="41" spans="1:13">
      <c r="A41" s="245">
        <f t="shared" ref="A41:A52" si="2">A3</f>
        <v>42705</v>
      </c>
      <c r="B41" s="251">
        <v>464230</v>
      </c>
      <c r="C41" s="251">
        <v>487371.590109117</v>
      </c>
      <c r="D41" s="251" t="s">
        <v>405</v>
      </c>
      <c r="E41" s="251" t="s">
        <v>405</v>
      </c>
      <c r="F41" s="689">
        <f>100*0.843196018599244</f>
        <v>84.3196018599244</v>
      </c>
      <c r="G41" s="689" t="e">
        <v>#VALUE!</v>
      </c>
      <c r="H41" s="761" t="e">
        <v>#VALUE!</v>
      </c>
      <c r="I41">
        <v>31</v>
      </c>
      <c r="J41">
        <v>744</v>
      </c>
      <c r="K41" s="199">
        <v>740</v>
      </c>
      <c r="L41" s="199">
        <v>775.981168602605</v>
      </c>
      <c r="M41" s="761"/>
    </row>
    <row r="42" spans="1:13">
      <c r="A42" s="245">
        <f t="shared" si="2"/>
        <v>42736</v>
      </c>
      <c r="B42" s="251">
        <v>496060</v>
      </c>
      <c r="C42" s="251">
        <v>520277.59811686</v>
      </c>
      <c r="D42" s="251" t="s">
        <v>529</v>
      </c>
      <c r="E42" s="251" t="s">
        <v>529</v>
      </c>
      <c r="F42" s="689">
        <f>100*0.901009880848591</f>
        <v>90.1009880848591</v>
      </c>
      <c r="G42" s="689" t="e">
        <v>#VALUE!</v>
      </c>
      <c r="H42" s="761" t="e">
        <v>#VALUE!</v>
      </c>
      <c r="I42">
        <v>31</v>
      </c>
      <c r="J42">
        <v>744</v>
      </c>
      <c r="K42" s="199">
        <v>740</v>
      </c>
      <c r="L42" s="199">
        <v>775.981168602605</v>
      </c>
      <c r="M42" s="761"/>
    </row>
    <row r="43" spans="1:13">
      <c r="A43" s="245">
        <f t="shared" si="2"/>
        <v>42767</v>
      </c>
      <c r="B43" s="251">
        <v>486580</v>
      </c>
      <c r="C43" s="251">
        <v>510394.447377684</v>
      </c>
      <c r="D43" s="251" t="s">
        <v>529</v>
      </c>
      <c r="E43" s="251" t="s">
        <v>529</v>
      </c>
      <c r="F43" s="689">
        <f>100*0.978482947232947</f>
        <v>97.8482947232947</v>
      </c>
      <c r="G43" s="689" t="e">
        <v>#VALUE!</v>
      </c>
      <c r="H43" s="761" t="e">
        <v>#VALUE!</v>
      </c>
      <c r="I43">
        <v>28</v>
      </c>
      <c r="J43">
        <v>672</v>
      </c>
      <c r="K43" s="199">
        <v>740</v>
      </c>
      <c r="L43" s="199">
        <v>775.981168602605</v>
      </c>
      <c r="M43" s="761"/>
    </row>
    <row r="44" spans="1:13">
      <c r="A44" s="245">
        <f t="shared" si="2"/>
        <v>42795</v>
      </c>
      <c r="B44" s="251">
        <v>536410</v>
      </c>
      <c r="C44" s="251">
        <v>562617.718233017</v>
      </c>
      <c r="D44" s="251">
        <v>11664.23625</v>
      </c>
      <c r="E44" s="251">
        <v>186396.021</v>
      </c>
      <c r="F44" s="689">
        <f>100*0.974298895669863</f>
        <v>97.4298895669863</v>
      </c>
      <c r="G44" s="689">
        <f>100*0.0202037594847745</f>
        <v>2.02037594847745</v>
      </c>
      <c r="H44" s="761">
        <v>0.322858719292743</v>
      </c>
      <c r="I44">
        <v>31</v>
      </c>
      <c r="J44">
        <v>744</v>
      </c>
      <c r="K44" s="199">
        <v>740</v>
      </c>
      <c r="L44" s="199">
        <v>775.981168602605</v>
      </c>
      <c r="M44" s="761"/>
    </row>
    <row r="45" spans="1:13">
      <c r="A45" s="245">
        <f t="shared" si="2"/>
        <v>42826</v>
      </c>
      <c r="B45" s="251">
        <v>514420</v>
      </c>
      <c r="C45" s="251">
        <v>539515.70749736</v>
      </c>
      <c r="D45" s="251">
        <v>9533.48450000001</v>
      </c>
      <c r="E45" s="251">
        <v>155245.1745</v>
      </c>
      <c r="F45" s="689">
        <f>100*0.965503003003003</f>
        <v>96.5503003003003</v>
      </c>
      <c r="G45" s="689">
        <f>100*0.0170634948761565</f>
        <v>1.70634948761565</v>
      </c>
      <c r="H45" s="761">
        <v>0.277865374368497</v>
      </c>
      <c r="I45">
        <v>30</v>
      </c>
      <c r="J45">
        <v>720</v>
      </c>
      <c r="K45" s="199">
        <v>740</v>
      </c>
      <c r="L45" s="199">
        <v>775.981168602605</v>
      </c>
      <c r="M45" s="761"/>
    </row>
    <row r="46" spans="1:13">
      <c r="A46" s="245">
        <f t="shared" si="2"/>
        <v>42856</v>
      </c>
      <c r="B46" s="251">
        <v>527780</v>
      </c>
      <c r="C46" s="251">
        <v>553516.026487152</v>
      </c>
      <c r="D46" s="251">
        <v>8099.94225</v>
      </c>
      <c r="E46" s="251">
        <v>139167.4685</v>
      </c>
      <c r="F46" s="689">
        <f>100*0.958623946527172</f>
        <v>95.8623946527172</v>
      </c>
      <c r="G46" s="689">
        <f>100*0.0140300043270783</f>
        <v>1.40300043270783</v>
      </c>
      <c r="H46" s="761">
        <v>0.241053593344265</v>
      </c>
      <c r="I46">
        <v>31</v>
      </c>
      <c r="J46">
        <v>744</v>
      </c>
      <c r="K46" s="199">
        <v>740</v>
      </c>
      <c r="L46" s="199">
        <v>775.981168602605</v>
      </c>
      <c r="M46" s="761"/>
    </row>
    <row r="47" spans="1:13">
      <c r="A47" s="245">
        <f t="shared" si="2"/>
        <v>42887</v>
      </c>
      <c r="B47" s="251">
        <v>517470</v>
      </c>
      <c r="C47" s="251">
        <v>542701.084565294</v>
      </c>
      <c r="D47" s="251">
        <v>6785.15699999999</v>
      </c>
      <c r="E47" s="251">
        <v>86743.0232499999</v>
      </c>
      <c r="F47" s="689">
        <f>100*0.971227477477478</f>
        <v>97.1227477477478</v>
      </c>
      <c r="G47" s="689">
        <f>100*0.0121444044623366</f>
        <v>1.21444044623366</v>
      </c>
      <c r="H47" s="761">
        <v>0.155256887738024</v>
      </c>
      <c r="I47">
        <v>30</v>
      </c>
      <c r="J47">
        <v>720</v>
      </c>
      <c r="K47" s="199">
        <v>740</v>
      </c>
      <c r="L47" s="199">
        <v>775.981168602605</v>
      </c>
      <c r="M47" s="761"/>
    </row>
    <row r="48" spans="1:13">
      <c r="A48" s="245">
        <f t="shared" si="2"/>
        <v>42917</v>
      </c>
      <c r="B48" s="251">
        <v>558920</v>
      </c>
      <c r="C48" s="251">
        <v>586179.31626188</v>
      </c>
      <c r="D48" s="251">
        <v>6897.897</v>
      </c>
      <c r="E48" s="251">
        <v>80922.3327499999</v>
      </c>
      <c r="F48" s="689">
        <f>100*1.01518453937809</f>
        <v>101.518453937809</v>
      </c>
      <c r="G48" s="689">
        <f>100*0.0119479277469837</f>
        <v>1.19479277469837</v>
      </c>
      <c r="H48" s="761">
        <v>0.140166515216793</v>
      </c>
      <c r="I48">
        <v>31</v>
      </c>
      <c r="J48">
        <v>744</v>
      </c>
      <c r="K48" s="199">
        <v>740</v>
      </c>
      <c r="L48" s="199">
        <v>775.981168602605</v>
      </c>
      <c r="M48" s="761"/>
    </row>
    <row r="49" spans="1:13">
      <c r="A49" s="245">
        <f t="shared" si="2"/>
        <v>42948</v>
      </c>
      <c r="B49" s="251">
        <v>512900</v>
      </c>
      <c r="C49" s="251">
        <v>537596.477912707</v>
      </c>
      <c r="D49" s="251">
        <v>6451.59975</v>
      </c>
      <c r="E49" s="251">
        <v>87123.2662500001</v>
      </c>
      <c r="F49" s="689">
        <f>100*0.931596919500145</f>
        <v>93.1596919500145</v>
      </c>
      <c r="G49" s="689">
        <f>100*0.0111748910813626</f>
        <v>1.11748910813626</v>
      </c>
      <c r="H49" s="761">
        <v>0.150907224366531</v>
      </c>
      <c r="I49">
        <v>31</v>
      </c>
      <c r="J49">
        <v>744</v>
      </c>
      <c r="K49" s="199">
        <v>740</v>
      </c>
      <c r="L49" s="199">
        <v>775.981168602605</v>
      </c>
      <c r="M49" s="761"/>
    </row>
    <row r="50" spans="1:13">
      <c r="A50" s="245">
        <f t="shared" si="2"/>
        <v>42979</v>
      </c>
      <c r="B50" s="251">
        <v>526871</v>
      </c>
      <c r="C50" s="251">
        <v>552465.494104189</v>
      </c>
      <c r="D50" s="251">
        <v>7382.92974999999</v>
      </c>
      <c r="E50" s="251">
        <v>121609.261</v>
      </c>
      <c r="F50" s="689">
        <f>100*0.988871996996997</f>
        <v>98.8871996996997</v>
      </c>
      <c r="G50" s="689">
        <f>100*0.0132143272441622</f>
        <v>1.32143272441622</v>
      </c>
      <c r="H50" s="761">
        <v>0.217662178185392</v>
      </c>
      <c r="I50">
        <v>30</v>
      </c>
      <c r="J50">
        <v>720</v>
      </c>
      <c r="K50" s="199">
        <v>740</v>
      </c>
      <c r="L50" s="199">
        <v>775.981168602605</v>
      </c>
      <c r="M50" s="761"/>
    </row>
    <row r="51" spans="1:13">
      <c r="A51" s="245">
        <f t="shared" si="2"/>
        <v>43009</v>
      </c>
      <c r="B51" s="251">
        <v>557980</v>
      </c>
      <c r="C51" s="251">
        <v>585218.453009504</v>
      </c>
      <c r="D51" s="251">
        <v>9180.82024999999</v>
      </c>
      <c r="E51" s="251">
        <v>132693.135</v>
      </c>
      <c r="F51" s="689">
        <f>100*1.01347718686428</f>
        <v>101.347718686428</v>
      </c>
      <c r="G51" s="689">
        <f>100*0.0159022057019762</f>
        <v>1.59022057019762</v>
      </c>
      <c r="H51" s="761">
        <v>0.229839324869703</v>
      </c>
      <c r="I51">
        <v>31</v>
      </c>
      <c r="J51">
        <v>744</v>
      </c>
      <c r="K51" s="199">
        <v>740</v>
      </c>
      <c r="L51" s="199">
        <v>775.981168602605</v>
      </c>
      <c r="M51" s="761"/>
    </row>
    <row r="52" spans="1:13">
      <c r="A52" s="246">
        <f t="shared" si="2"/>
        <v>43040</v>
      </c>
      <c r="B52" s="252">
        <v>541480</v>
      </c>
      <c r="C52" s="252">
        <v>567899.397219289</v>
      </c>
      <c r="D52" s="252">
        <v>10405.44275</v>
      </c>
      <c r="E52" s="252">
        <v>182043.474</v>
      </c>
      <c r="F52" s="762">
        <f>100*1.01629129129129</f>
        <v>101.629129129129</v>
      </c>
      <c r="G52" s="762">
        <f>100*0.0186241682197904</f>
        <v>1.86241682197904</v>
      </c>
      <c r="H52" s="763">
        <v>0.325830275995805</v>
      </c>
      <c r="I52" s="228">
        <v>30</v>
      </c>
      <c r="J52" s="228">
        <v>720</v>
      </c>
      <c r="K52" s="227">
        <v>740</v>
      </c>
      <c r="L52" s="227">
        <v>775.981168602605</v>
      </c>
      <c r="M52" s="761"/>
    </row>
    <row r="53" spans="1:12">
      <c r="A53" t="s">
        <v>530</v>
      </c>
      <c r="B53" s="251">
        <f>AVERAGE(B41:B52)</f>
        <v>520091.75</v>
      </c>
      <c r="C53" s="251">
        <f>AVERAGE(C41:C52)</f>
        <v>545479.442574504</v>
      </c>
      <c r="D53" s="251">
        <f>AVERAGE(D41:D52)</f>
        <v>8489.05661111111</v>
      </c>
      <c r="E53" s="251">
        <f>AVERAGE(E41:E52)</f>
        <v>130215.90625</v>
      </c>
      <c r="F53" s="764">
        <f>AVERAGE(F41:F52)</f>
        <v>96.3147008615758</v>
      </c>
      <c r="G53" s="764">
        <f>AVERAGE(G44:G52)</f>
        <v>1.49227981271801</v>
      </c>
      <c r="H53" s="764">
        <f>AVERAGE(H44:H52)</f>
        <v>0.229048899264195</v>
      </c>
      <c r="I53" s="764"/>
      <c r="J53" s="764"/>
      <c r="K53" s="689">
        <f>AVERAGE(K41:K52)</f>
        <v>740</v>
      </c>
      <c r="L53" s="766">
        <f>AVERAGE(L41:L52)</f>
        <v>775.981168602605</v>
      </c>
    </row>
    <row r="54" spans="1:5">
      <c r="A54" t="s">
        <v>531</v>
      </c>
      <c r="B54" s="251">
        <f>SUM(B41:B52)</f>
        <v>6241101</v>
      </c>
      <c r="C54" s="251">
        <f>SUM(C41:C52)</f>
        <v>6545753.31089405</v>
      </c>
      <c r="D54" s="251">
        <f>SUM(D41:D52)</f>
        <v>76401.5095</v>
      </c>
      <c r="E54" s="251">
        <f>SUM(E41:E52)</f>
        <v>1171943.15625</v>
      </c>
    </row>
    <row r="55" spans="6:6">
      <c r="F55" t="s">
        <v>407</v>
      </c>
    </row>
    <row r="56" spans="6:7">
      <c r="F56" s="765">
        <f>(B54+E54)/((K53+L53)*8760)</f>
        <v>0.558211364960542</v>
      </c>
      <c r="G56" t="s">
        <v>408</v>
      </c>
    </row>
    <row r="57" spans="7:7">
      <c r="G57" t="s">
        <v>409</v>
      </c>
    </row>
    <row r="59" spans="6:6">
      <c r="F59">
        <f>B54/K53/8760</f>
        <v>0.962776286560533</v>
      </c>
    </row>
  </sheetData>
  <pageMargins left="0.7" right="0.7" top="0.787401575" bottom="0.787401575" header="0.3" footer="0.3"/>
  <headerFooter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M82"/>
  <sheetViews>
    <sheetView zoomScale="115" zoomScaleNormal="115" topLeftCell="A4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509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740</v>
      </c>
      <c r="G3" s="22"/>
      <c r="H3" s="23" t="s">
        <v>187</v>
      </c>
      <c r="I3" s="5" t="s">
        <v>188</v>
      </c>
      <c r="J3" s="35">
        <v>6131853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759">
        <f>F3*0.95</f>
        <v>703</v>
      </c>
      <c r="G4" s="759"/>
      <c r="H4" s="25" t="s">
        <v>187</v>
      </c>
      <c r="I4" s="7" t="s">
        <v>191</v>
      </c>
      <c r="J4" s="37">
        <v>2742550.28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221"/>
      <c r="G5" s="221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99.9090341706862</v>
      </c>
      <c r="H6" s="27" t="s">
        <v>195</v>
      </c>
      <c r="I6" s="1"/>
      <c r="J6" s="40">
        <v>1107364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0.0909658293138053</v>
      </c>
      <c r="H7" s="27" t="s">
        <v>195</v>
      </c>
      <c r="I7" s="1"/>
      <c r="J7" s="40">
        <v>1008.24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1108372.24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23.5353266332639</v>
      </c>
      <c r="H11" s="27" t="s">
        <v>195</v>
      </c>
      <c r="I11" s="1"/>
      <c r="J11" s="40">
        <v>241158.49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32">
        <f>15.99</f>
        <v>15.99</v>
      </c>
      <c r="F14" s="15" t="s">
        <v>204</v>
      </c>
      <c r="G14" s="31"/>
      <c r="H14" s="15"/>
      <c r="I14" s="15"/>
      <c r="J14" s="45">
        <v>118965.6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96">
        <f>J15/1794</f>
        <v>3.79</v>
      </c>
      <c r="F15" s="15" t="s">
        <v>204</v>
      </c>
      <c r="G15" s="31"/>
      <c r="H15" s="15"/>
      <c r="I15" s="15"/>
      <c r="J15" s="45">
        <v>6799.26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5.11639890461868</v>
      </c>
      <c r="H16" s="27" t="s">
        <v>195</v>
      </c>
      <c r="I16" s="1"/>
      <c r="J16" s="40">
        <v>52426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12.5894681779233</v>
      </c>
      <c r="H17" s="27" t="s">
        <v>195</v>
      </c>
      <c r="I17" s="1"/>
      <c r="J17" s="40">
        <v>129000</v>
      </c>
      <c r="K17" s="41" t="s">
        <v>196</v>
      </c>
      <c r="L17" s="1"/>
    </row>
    <row r="18" ht="21.75" customHeight="1" spans="1:13">
      <c r="A18" s="1"/>
      <c r="B18" s="11"/>
      <c r="C18" s="1" t="s">
        <v>209</v>
      </c>
      <c r="D18" s="1"/>
      <c r="E18" s="1"/>
      <c r="F18" s="1"/>
      <c r="G18" s="26">
        <v>28.5926457987286</v>
      </c>
      <c r="H18" s="27" t="s">
        <v>195</v>
      </c>
      <c r="I18" s="1"/>
      <c r="J18" s="40">
        <v>292979.12</v>
      </c>
      <c r="K18" s="41" t="s">
        <v>196</v>
      </c>
      <c r="L18" s="1"/>
      <c r="M18" t="s">
        <v>77</v>
      </c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30.1661604854655</v>
      </c>
      <c r="H19" s="27" t="s">
        <v>195</v>
      </c>
      <c r="I19" s="1"/>
      <c r="J19" s="40">
        <v>309102.39</v>
      </c>
      <c r="K19" s="41" t="s">
        <v>196</v>
      </c>
      <c r="L19" s="1"/>
    </row>
    <row r="20" ht="21.75" customHeight="1" spans="1:13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  <c r="M20" t="s">
        <v>77</v>
      </c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39945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15000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36000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8800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29225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16030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37777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126325.39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1024666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18.075649236862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16.710544104694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1.36510513216804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83706.24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A1:T64"/>
  <sheetViews>
    <sheetView zoomScale="115" zoomScaleNormal="115" workbookViewId="0">
      <selection activeCell="P30" sqref="P30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5.163461538461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532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213" t="s">
        <v>533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241">
        <v>40179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6" t="s">
        <v>368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213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280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534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296"/>
      <c r="G13" s="296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296"/>
      <c r="G14" s="64"/>
      <c r="H14" s="64"/>
      <c r="I14" s="57" t="s">
        <v>248</v>
      </c>
      <c r="J14" s="64"/>
      <c r="K14" s="119">
        <v>8883.85096774194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796</v>
      </c>
      <c r="E15" s="69">
        <v>1885</v>
      </c>
      <c r="F15" s="296"/>
      <c r="G15" s="69"/>
      <c r="H15" s="98">
        <f>SUM(D15:G15)</f>
        <v>2681</v>
      </c>
      <c r="I15" s="57" t="s">
        <v>249</v>
      </c>
      <c r="J15" s="64"/>
      <c r="K15" s="121">
        <v>24.3393177198409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730</v>
      </c>
      <c r="E16" s="69">
        <v>1728</v>
      </c>
      <c r="F16" s="296"/>
      <c r="G16" s="69"/>
      <c r="H16" s="98">
        <f>SUM(D16:G16)</f>
        <v>2458</v>
      </c>
      <c r="I16" s="56" t="s">
        <v>157</v>
      </c>
      <c r="J16" s="56"/>
      <c r="K16" s="122">
        <v>7.10919174908818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296"/>
      <c r="G17" s="70"/>
      <c r="H17" s="98"/>
      <c r="I17" s="56" t="s">
        <v>58</v>
      </c>
      <c r="J17" s="56"/>
      <c r="K17" s="124">
        <v>29.5637557353978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1000</v>
      </c>
      <c r="E18" s="71">
        <v>450</v>
      </c>
      <c r="F18" s="296"/>
      <c r="G18" s="71"/>
      <c r="H18" s="98">
        <f>SUM(D18:G18)</f>
        <v>1450</v>
      </c>
      <c r="I18" s="56" t="s">
        <v>155</v>
      </c>
      <c r="J18" s="56"/>
      <c r="K18" s="124">
        <v>29.4804585253605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54"/>
      <c r="G19" s="70"/>
      <c r="H19" s="100"/>
      <c r="I19" s="56" t="s">
        <v>155</v>
      </c>
      <c r="J19" s="56"/>
      <c r="K19" s="124">
        <v>5.11613715324995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296"/>
      <c r="G20" s="74"/>
      <c r="H20" s="101"/>
      <c r="I20" s="56" t="s">
        <v>68</v>
      </c>
      <c r="J20" s="56"/>
      <c r="K20" s="124">
        <v>5.99177093281764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11.4145454545455</v>
      </c>
      <c r="E21" s="75">
        <v>9.44166666666666</v>
      </c>
      <c r="F21" s="296"/>
      <c r="G21" s="78"/>
      <c r="H21" s="102"/>
      <c r="I21" s="56" t="s">
        <v>158</v>
      </c>
      <c r="J21" s="56"/>
      <c r="K21" s="124">
        <v>4.92128922004109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82.8421705994693</v>
      </c>
      <c r="E22" s="75">
        <v>80.2728239444624</v>
      </c>
      <c r="F22" s="296"/>
      <c r="G22" s="78"/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296"/>
      <c r="G23" s="78"/>
      <c r="H23" s="75" t="s">
        <v>535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296"/>
      <c r="G24" s="78"/>
      <c r="H24" s="77" t="s">
        <v>536</v>
      </c>
      <c r="I24" s="127" t="s">
        <v>80</v>
      </c>
      <c r="J24" s="56"/>
      <c r="K24" s="122">
        <v>32.5652439331876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296"/>
      <c r="G25" s="78"/>
      <c r="H25" s="77" t="s">
        <v>375</v>
      </c>
      <c r="I25" s="128" t="s">
        <v>83</v>
      </c>
      <c r="J25" s="56"/>
      <c r="K25" s="122">
        <v>89.6047462641034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296"/>
      <c r="G26" s="78"/>
      <c r="H26" s="78" t="s">
        <v>537</v>
      </c>
      <c r="I26" s="57" t="s">
        <v>86</v>
      </c>
      <c r="J26" s="56"/>
      <c r="K26" s="122">
        <f>24.6966904761905/K24*100</f>
        <v>75.8375724955705</v>
      </c>
      <c r="L26" s="123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296"/>
      <c r="G27" s="78"/>
      <c r="H27" s="75"/>
      <c r="I27" s="129"/>
      <c r="J27" s="130"/>
      <c r="K27" s="131"/>
      <c r="L27" s="132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296"/>
      <c r="G28" s="78"/>
      <c r="H28" s="77" t="s">
        <v>339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7.82666666666667</v>
      </c>
      <c r="E29" s="75">
        <v>8.05583333333333</v>
      </c>
      <c r="F29" s="296"/>
      <c r="G29" s="78"/>
      <c r="H29" s="78"/>
      <c r="I29" s="66" t="s">
        <v>26</v>
      </c>
      <c r="J29" s="64"/>
      <c r="K29" s="134">
        <v>5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55.43</v>
      </c>
      <c r="E30" s="77">
        <v>53.95</v>
      </c>
      <c r="F30" s="296"/>
      <c r="G30" s="78"/>
      <c r="H30" s="78"/>
      <c r="I30" s="66" t="s">
        <v>96</v>
      </c>
      <c r="J30" s="92"/>
      <c r="K30" s="135">
        <v>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2.39464566666667</v>
      </c>
      <c r="E31" s="75">
        <v>2.77096025</v>
      </c>
      <c r="F31" s="296"/>
      <c r="G31" s="78"/>
      <c r="H31" s="78"/>
      <c r="I31" s="66" t="s">
        <v>99</v>
      </c>
      <c r="J31" s="92"/>
      <c r="K31" s="135">
        <v>3600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4.8775</v>
      </c>
      <c r="E32" s="75">
        <v>4.58833333333333</v>
      </c>
      <c r="F32" s="296"/>
      <c r="G32" s="78"/>
      <c r="H32" s="78"/>
      <c r="I32" s="66" t="s">
        <v>66</v>
      </c>
      <c r="J32" s="92"/>
      <c r="K32" s="135">
        <v>0</v>
      </c>
      <c r="L32" s="120" t="s">
        <v>55</v>
      </c>
    </row>
    <row r="33" ht="15" customHeight="1" spans="1:12">
      <c r="A33" s="157"/>
      <c r="B33" s="66" t="s">
        <v>101</v>
      </c>
      <c r="C33" s="64" t="s">
        <v>102</v>
      </c>
      <c r="D33" s="77">
        <v>874</v>
      </c>
      <c r="E33" s="77">
        <v>555</v>
      </c>
      <c r="F33" s="296"/>
      <c r="G33" s="78"/>
      <c r="H33" s="78"/>
      <c r="I33" s="57" t="s">
        <v>103</v>
      </c>
      <c r="J33" s="64"/>
      <c r="K33" s="136">
        <v>3.6</v>
      </c>
      <c r="L33" s="120" t="s">
        <v>59</v>
      </c>
    </row>
    <row r="34" ht="15" customHeight="1" spans="1:12">
      <c r="A34" s="157"/>
      <c r="B34" s="66" t="s">
        <v>104</v>
      </c>
      <c r="C34" s="64" t="s">
        <v>62</v>
      </c>
      <c r="D34" s="80">
        <v>0.388636363636364</v>
      </c>
      <c r="E34" s="80">
        <v>0.291389317150118</v>
      </c>
      <c r="F34" s="296"/>
      <c r="G34" s="78"/>
      <c r="H34" s="78"/>
      <c r="I34" s="66" t="s">
        <v>105</v>
      </c>
      <c r="J34" s="64"/>
      <c r="K34" s="137">
        <v>9.44166666666666</v>
      </c>
      <c r="L34" s="120" t="s">
        <v>59</v>
      </c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80.2728239444624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13</v>
      </c>
      <c r="L38" s="120"/>
    </row>
    <row r="39" ht="15" customHeight="1" spans="1:12">
      <c r="A39" s="157"/>
      <c r="B39" s="85" t="s">
        <v>111</v>
      </c>
      <c r="C39" s="64" t="s">
        <v>59</v>
      </c>
      <c r="D39" s="143">
        <v>57</v>
      </c>
      <c r="E39" s="13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887" t="s">
        <v>117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887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888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195</v>
      </c>
      <c r="E43" s="77">
        <v>380</v>
      </c>
      <c r="F43" s="77"/>
      <c r="G43" s="78"/>
      <c r="H43" s="102"/>
      <c r="I43" s="66"/>
      <c r="J43" s="64" t="s">
        <v>123</v>
      </c>
      <c r="K43" s="144" t="s">
        <v>124</v>
      </c>
      <c r="L43" s="889" t="s">
        <v>117</v>
      </c>
    </row>
    <row r="44" ht="15" customHeight="1" spans="1:17">
      <c r="A44" s="157"/>
      <c r="B44" s="66" t="s">
        <v>125</v>
      </c>
      <c r="C44" s="64" t="s">
        <v>122</v>
      </c>
      <c r="D44" s="77">
        <v>220</v>
      </c>
      <c r="E44" s="77">
        <v>429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39</v>
      </c>
      <c r="E45" s="75">
        <v>39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44</v>
      </c>
      <c r="E46" s="75">
        <v>44</v>
      </c>
      <c r="F46" s="78"/>
      <c r="G46" s="78"/>
      <c r="H46" s="102"/>
      <c r="I46" s="66"/>
      <c r="J46" s="64" t="s">
        <v>131</v>
      </c>
      <c r="K46" s="79">
        <v>217.804805365505</v>
      </c>
      <c r="L46" s="889" t="s">
        <v>117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8"/>
      <c r="G47" s="78"/>
      <c r="H47" s="102"/>
      <c r="I47" s="66"/>
      <c r="J47" s="64" t="s">
        <v>134</v>
      </c>
      <c r="K47" s="79">
        <f>K46/K24/K25*100*100</f>
        <v>746.418005624348</v>
      </c>
      <c r="L47" s="889" t="s">
        <v>117</v>
      </c>
    </row>
    <row r="48" ht="15" customHeight="1" spans="1:13">
      <c r="A48" s="157"/>
      <c r="B48" s="66" t="s">
        <v>135</v>
      </c>
      <c r="C48" s="64" t="s">
        <v>240</v>
      </c>
      <c r="D48" s="69">
        <v>7170.88888888889</v>
      </c>
      <c r="E48" s="69">
        <v>7659</v>
      </c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6171.28717948718</v>
      </c>
      <c r="E49" s="69">
        <v>7441.34736842105</v>
      </c>
      <c r="F49" s="78"/>
      <c r="G49" s="69"/>
      <c r="H49" s="98"/>
      <c r="I49" s="66"/>
      <c r="J49" s="64" t="s">
        <v>139</v>
      </c>
      <c r="K49" s="150">
        <v>11020.6472580645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70.4484837841002</v>
      </c>
      <c r="E50" s="78">
        <v>85</v>
      </c>
      <c r="F50" s="78"/>
      <c r="G50" s="78"/>
      <c r="H50" s="102"/>
      <c r="I50" s="66"/>
      <c r="J50" s="64" t="s">
        <v>141</v>
      </c>
      <c r="K50" s="150">
        <v>397.429624141525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3">
      <c r="A55" s="157"/>
      <c r="B55" s="66" t="s">
        <v>146</v>
      </c>
      <c r="C55" s="93">
        <v>326503.103782642</v>
      </c>
      <c r="D55" s="69">
        <v>8.11684677417389</v>
      </c>
      <c r="E55" s="111" t="s">
        <v>147</v>
      </c>
      <c r="F55" s="64"/>
      <c r="G55" s="64" t="s">
        <v>148</v>
      </c>
      <c r="H55" s="64"/>
      <c r="I55" s="69">
        <v>477247.142857141</v>
      </c>
      <c r="J55" s="69">
        <f>I55/4538246.02473118*100</f>
        <v>10.5161143811151</v>
      </c>
      <c r="K55" s="111" t="s">
        <v>149</v>
      </c>
      <c r="L55" s="114"/>
      <c r="M55" s="753"/>
    </row>
    <row r="56" ht="15" customHeight="1" spans="1:12">
      <c r="A56" s="157"/>
      <c r="B56" s="66"/>
      <c r="C56" s="69"/>
      <c r="D56" s="69"/>
      <c r="E56" s="111"/>
      <c r="F56" s="64"/>
      <c r="G56" s="64" t="s">
        <v>257</v>
      </c>
      <c r="H56" s="64"/>
      <c r="I56" s="69">
        <v>2383180</v>
      </c>
      <c r="J56" s="69">
        <f>I56/4538246.02473118*100</f>
        <v>52.513239410399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258</v>
      </c>
      <c r="H57" s="64"/>
      <c r="I57" s="69">
        <v>481779</v>
      </c>
      <c r="J57" s="69">
        <f>I57/4538246.02473118*100</f>
        <v>10.6159736024566</v>
      </c>
      <c r="K57" s="111" t="s">
        <v>149</v>
      </c>
      <c r="L57" s="114"/>
    </row>
    <row r="58" ht="15" customHeight="1" spans="1:12">
      <c r="A58" s="157"/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G61"/>
      <c r="H61"/>
    </row>
    <row r="62" ht="16.8" spans="7:8">
      <c r="G62"/>
      <c r="H62"/>
    </row>
    <row r="64" spans="12:12">
      <c r="L64" s="156" t="s">
        <v>77</v>
      </c>
    </row>
  </sheetData>
  <mergeCells count="1">
    <mergeCell ref="B2:L2"/>
  </mergeCells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A4:I62"/>
  <sheetViews>
    <sheetView zoomScale="85" zoomScaleNormal="85" workbookViewId="0">
      <selection activeCell="P30" sqref="P30"/>
    </sheetView>
  </sheetViews>
  <sheetFormatPr defaultColWidth="11.5" defaultRowHeight="16.8"/>
  <sheetData>
    <row r="4" spans="1:9">
      <c r="A4" t="s">
        <v>154</v>
      </c>
      <c r="B4" t="s">
        <v>155</v>
      </c>
      <c r="C4" t="s">
        <v>155</v>
      </c>
      <c r="D4" t="s">
        <v>58</v>
      </c>
      <c r="E4" t="s">
        <v>156</v>
      </c>
      <c r="F4" t="s">
        <v>68</v>
      </c>
      <c r="G4" t="s">
        <v>157</v>
      </c>
      <c r="H4" t="s">
        <v>158</v>
      </c>
      <c r="I4" t="s">
        <v>538</v>
      </c>
    </row>
    <row r="5" spans="2:8">
      <c r="B5" t="s">
        <v>59</v>
      </c>
      <c r="C5" t="s">
        <v>59</v>
      </c>
      <c r="D5" t="s">
        <v>59</v>
      </c>
      <c r="E5" t="s">
        <v>59</v>
      </c>
      <c r="F5" t="s">
        <v>59</v>
      </c>
      <c r="G5" t="s">
        <v>59</v>
      </c>
      <c r="H5" t="s">
        <v>59</v>
      </c>
    </row>
    <row r="6" spans="1:9">
      <c r="A6" t="s">
        <v>166</v>
      </c>
      <c r="B6">
        <v>3.08483290488432</v>
      </c>
      <c r="C6">
        <v>35.2552331986779</v>
      </c>
      <c r="D6">
        <v>31.4359162688212</v>
      </c>
      <c r="E6">
        <v>19.6430407638634</v>
      </c>
      <c r="F6">
        <v>0</v>
      </c>
      <c r="G6">
        <v>7.78993756885788</v>
      </c>
      <c r="H6">
        <v>2.79103929489534</v>
      </c>
      <c r="I6">
        <v>21.9596774193548</v>
      </c>
    </row>
    <row r="7" spans="1:9">
      <c r="A7" t="s">
        <v>167</v>
      </c>
      <c r="B7">
        <v>4.53276832030394</v>
      </c>
      <c r="C7">
        <v>32.4395411704537</v>
      </c>
      <c r="D7">
        <v>26.0100825600935</v>
      </c>
      <c r="E7">
        <v>19.6682983853291</v>
      </c>
      <c r="F7">
        <v>11.1638781325345</v>
      </c>
      <c r="G7">
        <v>6.18543143128516</v>
      </c>
      <c r="H7">
        <v>0</v>
      </c>
      <c r="I7">
        <v>22.8116666666667</v>
      </c>
    </row>
    <row r="8" spans="1:9">
      <c r="A8" t="s">
        <v>168</v>
      </c>
      <c r="B8">
        <v>5.36880067389702</v>
      </c>
      <c r="C8">
        <v>28.9565125829209</v>
      </c>
      <c r="D8">
        <v>25.3237864588818</v>
      </c>
      <c r="E8">
        <v>19.1191955354322</v>
      </c>
      <c r="F8">
        <v>16.0971885858692</v>
      </c>
      <c r="G8">
        <v>5.13451616299884</v>
      </c>
      <c r="H8">
        <v>0</v>
      </c>
      <c r="I8">
        <v>24.5083870967742</v>
      </c>
    </row>
    <row r="9" spans="1:9">
      <c r="A9" t="s">
        <v>169</v>
      </c>
      <c r="B9">
        <v>5.57899033882161</v>
      </c>
      <c r="C9">
        <v>28.4392434344809</v>
      </c>
      <c r="D9">
        <v>33.0249013471221</v>
      </c>
      <c r="E9">
        <v>13.2943257586066</v>
      </c>
      <c r="F9">
        <v>6.16410395972241</v>
      </c>
      <c r="G9">
        <v>7.66090624574772</v>
      </c>
      <c r="H9">
        <v>5.83752891549871</v>
      </c>
      <c r="I9">
        <v>23.7064516129032</v>
      </c>
    </row>
    <row r="10" spans="1:9">
      <c r="A10" t="s">
        <v>170</v>
      </c>
      <c r="B10">
        <v>6.03085553997195</v>
      </c>
      <c r="C10">
        <v>27.9102384291725</v>
      </c>
      <c r="D10">
        <v>30.3927068723703</v>
      </c>
      <c r="E10">
        <v>17.4894810659186</v>
      </c>
      <c r="F10">
        <v>5.48387096774193</v>
      </c>
      <c r="G10">
        <v>7.12482468443198</v>
      </c>
      <c r="H10">
        <v>5.56802244039271</v>
      </c>
      <c r="I10">
        <v>25.4642857142857</v>
      </c>
    </row>
    <row r="11" spans="1:9">
      <c r="A11" t="s">
        <v>171</v>
      </c>
      <c r="B11">
        <v>6.49681528662421</v>
      </c>
      <c r="C11">
        <v>27.2611464968153</v>
      </c>
      <c r="D11">
        <v>32.4968152866242</v>
      </c>
      <c r="E11">
        <v>16.7388535031847</v>
      </c>
      <c r="F11">
        <v>5.14649681528662</v>
      </c>
      <c r="G11">
        <v>6.50955414012739</v>
      </c>
      <c r="H11">
        <v>5.35031847133758</v>
      </c>
      <c r="I11">
        <v>25.3225806451613</v>
      </c>
    </row>
    <row r="12" spans="1:9">
      <c r="A12" t="s">
        <v>172</v>
      </c>
      <c r="B12">
        <v>5.97525664648592</v>
      </c>
      <c r="C12">
        <v>27.375625164517</v>
      </c>
      <c r="D12">
        <v>31.3371939984206</v>
      </c>
      <c r="E12">
        <v>17.7546722821795</v>
      </c>
      <c r="F12">
        <v>5.35667280863385</v>
      </c>
      <c r="G12">
        <v>6.97551987365096</v>
      </c>
      <c r="H12">
        <v>5.22505922611214</v>
      </c>
      <c r="I12">
        <v>25.3266666666667</v>
      </c>
    </row>
    <row r="13" spans="1:9">
      <c r="A13" t="s">
        <v>173</v>
      </c>
      <c r="B13">
        <v>6.21055289068417</v>
      </c>
      <c r="C13">
        <v>27.2658419591012</v>
      </c>
      <c r="D13">
        <v>31.4188336278717</v>
      </c>
      <c r="E13">
        <v>16.208028275688</v>
      </c>
      <c r="F13">
        <v>5.42792224185812</v>
      </c>
      <c r="G13">
        <v>7.90204493814693</v>
      </c>
      <c r="H13">
        <v>5.56677606664984</v>
      </c>
      <c r="I13">
        <v>25.5548387096774</v>
      </c>
    </row>
    <row r="14" spans="1:9">
      <c r="A14" t="s">
        <v>174</v>
      </c>
      <c r="B14">
        <v>6.12764816304639</v>
      </c>
      <c r="C14">
        <v>27.8895146151783</v>
      </c>
      <c r="D14">
        <v>26.9509251810137</v>
      </c>
      <c r="E14">
        <v>18.946098149638</v>
      </c>
      <c r="F14">
        <v>5.81925449182086</v>
      </c>
      <c r="G14">
        <v>8.46071332796997</v>
      </c>
      <c r="H14">
        <v>5.8058460713328</v>
      </c>
      <c r="I14">
        <v>24.86</v>
      </c>
    </row>
    <row r="15" spans="1:9">
      <c r="A15" t="s">
        <v>175</v>
      </c>
      <c r="B15">
        <v>5.34835534835535</v>
      </c>
      <c r="C15">
        <v>28.4900284900285</v>
      </c>
      <c r="D15">
        <v>27.4669774669775</v>
      </c>
      <c r="E15">
        <v>20.7459207459207</v>
      </c>
      <c r="F15">
        <v>5.21885521885522</v>
      </c>
      <c r="G15">
        <v>7.00595700595701</v>
      </c>
      <c r="H15">
        <v>5.72390572390573</v>
      </c>
      <c r="I15">
        <v>24.9096774193548</v>
      </c>
    </row>
    <row r="16" spans="1:9">
      <c r="A16" t="s">
        <v>176</v>
      </c>
      <c r="B16">
        <v>5.59275793650794</v>
      </c>
      <c r="C16">
        <v>27.9017857142857</v>
      </c>
      <c r="D16">
        <v>29.9479166666667</v>
      </c>
      <c r="E16">
        <v>18.8368055555556</v>
      </c>
      <c r="F16">
        <v>5.13392857142857</v>
      </c>
      <c r="G16">
        <v>7.72569444444444</v>
      </c>
      <c r="H16">
        <v>4.86111111111111</v>
      </c>
      <c r="I16">
        <v>26.0129032258065</v>
      </c>
    </row>
    <row r="17" spans="1:9">
      <c r="A17" t="s">
        <v>177</v>
      </c>
      <c r="B17">
        <v>0</v>
      </c>
      <c r="C17">
        <v>34.9373183406242</v>
      </c>
      <c r="D17">
        <v>27.2892751240422</v>
      </c>
      <c r="E17">
        <v>19.1303837233199</v>
      </c>
      <c r="F17">
        <v>0</v>
      </c>
      <c r="G17">
        <v>6.44432048383782</v>
      </c>
      <c r="H17">
        <v>12.1987023281759</v>
      </c>
      <c r="I17">
        <v>22.7073333333333</v>
      </c>
    </row>
    <row r="27" spans="3:4">
      <c r="C27" t="s">
        <v>104</v>
      </c>
      <c r="D27" t="s">
        <v>22</v>
      </c>
    </row>
    <row r="28" spans="4:4">
      <c r="D28" t="s">
        <v>62</v>
      </c>
    </row>
    <row r="30" spans="3:4">
      <c r="C30" t="s">
        <v>166</v>
      </c>
      <c r="D30">
        <v>0.502</v>
      </c>
    </row>
    <row r="31" spans="3:4">
      <c r="C31" t="s">
        <v>167</v>
      </c>
      <c r="D31">
        <v>0.406</v>
      </c>
    </row>
    <row r="32" spans="3:4">
      <c r="C32" t="s">
        <v>168</v>
      </c>
      <c r="D32">
        <v>0.227</v>
      </c>
    </row>
    <row r="33" spans="3:4">
      <c r="C33" t="s">
        <v>169</v>
      </c>
      <c r="D33">
        <v>0.354</v>
      </c>
    </row>
    <row r="34" spans="3:4">
      <c r="C34" t="s">
        <v>170</v>
      </c>
      <c r="D34">
        <v>0.342</v>
      </c>
    </row>
    <row r="35" spans="3:4">
      <c r="C35" t="s">
        <v>171</v>
      </c>
      <c r="D35">
        <v>0.346</v>
      </c>
    </row>
    <row r="36" spans="3:4">
      <c r="C36" t="s">
        <v>172</v>
      </c>
      <c r="D36">
        <v>0.273</v>
      </c>
    </row>
    <row r="37" spans="3:4">
      <c r="C37" t="s">
        <v>173</v>
      </c>
      <c r="D37">
        <v>0.366</v>
      </c>
    </row>
    <row r="38" spans="3:4">
      <c r="C38" t="s">
        <v>174</v>
      </c>
      <c r="D38">
        <v>0.641</v>
      </c>
    </row>
    <row r="39" spans="3:4">
      <c r="C39" t="s">
        <v>175</v>
      </c>
      <c r="D39">
        <v>0.392</v>
      </c>
    </row>
    <row r="40" spans="3:4">
      <c r="C40" t="s">
        <v>176</v>
      </c>
      <c r="D40">
        <v>0.426</v>
      </c>
    </row>
    <row r="41" spans="3:4">
      <c r="C41" t="s">
        <v>177</v>
      </c>
      <c r="D41">
        <v>0.358</v>
      </c>
    </row>
    <row r="46" spans="4:9"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184</v>
      </c>
    </row>
    <row r="47" spans="2:7">
      <c r="B47" t="s">
        <v>154</v>
      </c>
      <c r="C47" t="s">
        <v>154</v>
      </c>
      <c r="D47" t="s">
        <v>185</v>
      </c>
      <c r="E47" t="s">
        <v>185</v>
      </c>
      <c r="F47" t="s">
        <v>122</v>
      </c>
      <c r="G47" t="s">
        <v>122</v>
      </c>
    </row>
    <row r="48" spans="3:9">
      <c r="C48" t="s">
        <v>166</v>
      </c>
      <c r="D48">
        <v>258.270833333333</v>
      </c>
      <c r="E48">
        <v>394.030277777778</v>
      </c>
      <c r="F48" t="s">
        <v>539</v>
      </c>
      <c r="G48">
        <f>F48*44/39</f>
        <v>616</v>
      </c>
      <c r="H48">
        <f>E48/F48*100</f>
        <v>72.1667175417176</v>
      </c>
      <c r="I48">
        <f>D48/G48*100</f>
        <v>41.9270833333333</v>
      </c>
    </row>
    <row r="49" spans="3:9">
      <c r="C49" t="s">
        <v>167</v>
      </c>
      <c r="D49">
        <v>354.939516129032</v>
      </c>
      <c r="E49">
        <v>472.498252688171</v>
      </c>
      <c r="F49" t="s">
        <v>539</v>
      </c>
      <c r="G49">
        <f t="shared" ref="G49:G59" si="0">F49*44/39</f>
        <v>616</v>
      </c>
      <c r="H49">
        <f t="shared" ref="H49:H59" si="1">E49/F49*100</f>
        <v>86.53814151798</v>
      </c>
      <c r="I49">
        <f t="shared" ref="I49:I59" si="2">D49/G49*100</f>
        <v>57.6200513196481</v>
      </c>
    </row>
    <row r="50" spans="3:9">
      <c r="C50" t="s">
        <v>168</v>
      </c>
      <c r="D50">
        <v>382.375</v>
      </c>
      <c r="E50">
        <v>459.173790322579</v>
      </c>
      <c r="F50" t="s">
        <v>539</v>
      </c>
      <c r="G50">
        <f t="shared" si="0"/>
        <v>616</v>
      </c>
      <c r="H50">
        <f t="shared" si="1"/>
        <v>84.0977637953442</v>
      </c>
      <c r="I50">
        <f t="shared" si="2"/>
        <v>62.0738636363636</v>
      </c>
    </row>
    <row r="51" spans="3:9">
      <c r="C51" t="s">
        <v>169</v>
      </c>
      <c r="D51">
        <v>431.572580645163</v>
      </c>
      <c r="E51">
        <v>505.300403225808</v>
      </c>
      <c r="F51" t="s">
        <v>539</v>
      </c>
      <c r="G51">
        <f t="shared" si="0"/>
        <v>616</v>
      </c>
      <c r="H51">
        <f t="shared" si="1"/>
        <v>92.5458613966682</v>
      </c>
      <c r="I51">
        <f t="shared" si="2"/>
        <v>70.0604838709679</v>
      </c>
    </row>
    <row r="52" spans="3:9">
      <c r="C52" t="s">
        <v>170</v>
      </c>
      <c r="D52">
        <v>366.088709677419</v>
      </c>
      <c r="E52">
        <v>409.070833333333</v>
      </c>
      <c r="F52" t="s">
        <v>539</v>
      </c>
      <c r="G52">
        <f t="shared" si="0"/>
        <v>616</v>
      </c>
      <c r="H52">
        <f t="shared" si="1"/>
        <v>74.9213980463981</v>
      </c>
      <c r="I52">
        <f t="shared" si="2"/>
        <v>59.4299853372434</v>
      </c>
    </row>
    <row r="53" spans="3:9">
      <c r="C53" t="s">
        <v>171</v>
      </c>
      <c r="D53">
        <v>437.96875</v>
      </c>
      <c r="E53">
        <v>469.441666666667</v>
      </c>
      <c r="F53" t="s">
        <v>539</v>
      </c>
      <c r="G53">
        <f t="shared" si="0"/>
        <v>616</v>
      </c>
      <c r="H53">
        <f t="shared" si="1"/>
        <v>85.9783272283272</v>
      </c>
      <c r="I53">
        <f t="shared" si="2"/>
        <v>71.0988230519481</v>
      </c>
    </row>
    <row r="54" spans="3:9">
      <c r="C54" t="s">
        <v>172</v>
      </c>
      <c r="D54">
        <v>397.278225806452</v>
      </c>
      <c r="E54">
        <v>486.830241935483</v>
      </c>
      <c r="F54" t="s">
        <v>539</v>
      </c>
      <c r="G54">
        <f t="shared" si="0"/>
        <v>616</v>
      </c>
      <c r="H54">
        <f t="shared" si="1"/>
        <v>89.1630479735317</v>
      </c>
      <c r="I54">
        <f t="shared" si="2"/>
        <v>64.4932184750733</v>
      </c>
    </row>
    <row r="55" spans="3:9">
      <c r="C55" t="s">
        <v>173</v>
      </c>
      <c r="D55">
        <v>398.416666666667</v>
      </c>
      <c r="E55">
        <v>460.307638888888</v>
      </c>
      <c r="F55" t="s">
        <v>539</v>
      </c>
      <c r="G55">
        <f t="shared" si="0"/>
        <v>616</v>
      </c>
      <c r="H55">
        <f t="shared" si="1"/>
        <v>84.3054283679281</v>
      </c>
      <c r="I55">
        <f t="shared" si="2"/>
        <v>64.6780303030303</v>
      </c>
    </row>
    <row r="56" spans="3:9">
      <c r="C56" t="s">
        <v>174</v>
      </c>
      <c r="D56">
        <v>303.004032258065</v>
      </c>
      <c r="E56">
        <v>446.901478494625</v>
      </c>
      <c r="F56" t="s">
        <v>539</v>
      </c>
      <c r="G56">
        <f t="shared" si="0"/>
        <v>616</v>
      </c>
      <c r="H56">
        <f t="shared" si="1"/>
        <v>81.8500876363782</v>
      </c>
      <c r="I56">
        <f t="shared" si="2"/>
        <v>49.1889662756598</v>
      </c>
    </row>
    <row r="57" spans="3:9">
      <c r="C57" t="s">
        <v>175</v>
      </c>
      <c r="D57">
        <v>341.25</v>
      </c>
      <c r="E57">
        <v>437.344583333333</v>
      </c>
      <c r="F57" t="s">
        <v>539</v>
      </c>
      <c r="G57">
        <f t="shared" si="0"/>
        <v>616</v>
      </c>
      <c r="H57">
        <f t="shared" si="1"/>
        <v>80.0997405372405</v>
      </c>
      <c r="I57">
        <f t="shared" si="2"/>
        <v>55.3977272727273</v>
      </c>
    </row>
    <row r="58" spans="3:9">
      <c r="C58" t="s">
        <v>176</v>
      </c>
      <c r="D58">
        <v>369.052419354839</v>
      </c>
      <c r="E58">
        <v>484.712231182796</v>
      </c>
      <c r="F58" t="s">
        <v>539</v>
      </c>
      <c r="G58">
        <f t="shared" si="0"/>
        <v>616</v>
      </c>
      <c r="H58">
        <f t="shared" si="1"/>
        <v>88.775133916263</v>
      </c>
      <c r="I58">
        <f t="shared" si="2"/>
        <v>59.9111070381232</v>
      </c>
    </row>
    <row r="59" spans="3:9">
      <c r="C59" t="s">
        <v>177</v>
      </c>
      <c r="D59">
        <v>369.052419354839</v>
      </c>
      <c r="E59">
        <v>484.712231182796</v>
      </c>
      <c r="F59" t="s">
        <v>539</v>
      </c>
      <c r="G59">
        <f t="shared" si="0"/>
        <v>616</v>
      </c>
      <c r="H59">
        <f t="shared" si="1"/>
        <v>88.775133916263</v>
      </c>
      <c r="I59">
        <f t="shared" si="2"/>
        <v>59.9111070381232</v>
      </c>
    </row>
    <row r="62" spans="9:9">
      <c r="I62">
        <f>AVERAGE(I48:I59)</f>
        <v>59.6492039126868</v>
      </c>
    </row>
  </sheetData>
  <pageMargins left="0.7" right="0.7" top="0.787401575" bottom="0.787401575" header="0.3" footer="0.3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A1:O83"/>
  <sheetViews>
    <sheetView zoomScale="115" zoomScaleNormal="115" workbookViewId="0">
      <selection activeCell="P30" sqref="P30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532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575</v>
      </c>
      <c r="G3" s="22"/>
      <c r="H3" s="23" t="s">
        <v>187</v>
      </c>
      <c r="I3" s="5" t="s">
        <v>188</v>
      </c>
      <c r="J3" s="35">
        <v>3979089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546</v>
      </c>
      <c r="G4" s="217"/>
      <c r="H4" s="25" t="s">
        <v>187</v>
      </c>
      <c r="I4" s="7" t="s">
        <v>191</v>
      </c>
      <c r="J4" s="37">
        <v>1475000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86.9033169127446</v>
      </c>
      <c r="H6" s="27" t="s">
        <v>195</v>
      </c>
      <c r="I6" s="1"/>
      <c r="J6" s="40">
        <v>725179.18</v>
      </c>
      <c r="K6" s="41" t="s">
        <v>196</v>
      </c>
      <c r="L6" s="1"/>
    </row>
    <row r="7" ht="21.75" customHeight="1" spans="1:13">
      <c r="A7" s="1"/>
      <c r="B7" s="11"/>
      <c r="C7" s="1" t="s">
        <v>197</v>
      </c>
      <c r="D7" s="1"/>
      <c r="E7" s="1"/>
      <c r="F7" s="1"/>
      <c r="G7" s="26">
        <v>13.0111194500372</v>
      </c>
      <c r="H7" s="27" t="s">
        <v>195</v>
      </c>
      <c r="I7" s="1"/>
      <c r="J7" s="40">
        <v>108573.45</v>
      </c>
      <c r="K7" s="41" t="s">
        <v>196</v>
      </c>
      <c r="L7" s="1"/>
      <c r="M7" t="s">
        <v>77</v>
      </c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0.0855636372181833</v>
      </c>
      <c r="H8" s="27" t="s">
        <v>195</v>
      </c>
      <c r="I8" s="1"/>
      <c r="J8" s="40">
        <v>714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834466.63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47.5169249918721</v>
      </c>
      <c r="H11" s="27" t="s">
        <v>195</v>
      </c>
      <c r="I11" s="1"/>
      <c r="J11" s="40">
        <v>336985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34.3211792086889</v>
      </c>
      <c r="F13" s="15" t="s">
        <v>204</v>
      </c>
      <c r="G13" s="31"/>
      <c r="H13" s="15"/>
      <c r="I13" s="15"/>
      <c r="J13" s="45">
        <v>88480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24</v>
      </c>
      <c r="F14" s="15" t="s">
        <v>204</v>
      </c>
      <c r="G14" s="31"/>
      <c r="H14" s="15"/>
      <c r="I14" s="15"/>
      <c r="J14" s="45">
        <v>16944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85.6262433052793</v>
      </c>
      <c r="F15" s="15" t="s">
        <v>204</v>
      </c>
      <c r="G15" s="31"/>
      <c r="H15" s="15"/>
      <c r="I15" s="15" t="s">
        <v>77</v>
      </c>
      <c r="J15" s="45">
        <v>223827</v>
      </c>
      <c r="K15" s="44" t="s">
        <v>196</v>
      </c>
      <c r="L15" s="15"/>
    </row>
    <row r="16" ht="21.75" customHeight="1" spans="1:13">
      <c r="A16" s="1"/>
      <c r="B16" s="11"/>
      <c r="C16" s="1" t="s">
        <v>207</v>
      </c>
      <c r="D16" s="1"/>
      <c r="E16" s="1"/>
      <c r="F16" s="1"/>
      <c r="G16" s="26">
        <v>3.18673681266617</v>
      </c>
      <c r="H16" s="27" t="s">
        <v>195</v>
      </c>
      <c r="I16" s="1"/>
      <c r="J16" s="40">
        <v>22600</v>
      </c>
      <c r="K16" s="41" t="s">
        <v>196</v>
      </c>
      <c r="L16" s="1"/>
      <c r="M16" t="s">
        <v>77</v>
      </c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18.0259318875052</v>
      </c>
      <c r="H17" s="27" t="s">
        <v>195</v>
      </c>
      <c r="I17" s="1"/>
      <c r="J17" s="40">
        <v>127838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15.4364699269833</v>
      </c>
      <c r="H18" s="27" t="s">
        <v>195</v>
      </c>
      <c r="I18" s="1"/>
      <c r="J18" s="40">
        <v>109473.81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15.8339363809733</v>
      </c>
      <c r="H19" s="27" t="s">
        <v>195</v>
      </c>
      <c r="I19" s="1"/>
      <c r="J19" s="40">
        <v>112292.6</v>
      </c>
      <c r="K19" s="41" t="s">
        <v>196</v>
      </c>
      <c r="L19" s="1"/>
    </row>
    <row r="20" ht="21.75" customHeight="1" spans="1:14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  <c r="N20" t="s">
        <v>77</v>
      </c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727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49687.72</v>
      </c>
      <c r="K22" s="44" t="s">
        <v>196</v>
      </c>
      <c r="L22" s="17"/>
    </row>
    <row r="23" ht="21.75" customHeight="1" spans="1:15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727">
        <v>0</v>
      </c>
      <c r="K23" s="44" t="s">
        <v>196</v>
      </c>
      <c r="L23" s="15"/>
      <c r="O23" t="s">
        <v>77</v>
      </c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727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14503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6800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1044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9639</v>
      </c>
      <c r="K28" s="44" t="s">
        <v>196</v>
      </c>
      <c r="L28" s="15"/>
    </row>
    <row r="29" ht="21.75" customHeight="1" spans="1:14">
      <c r="A29" s="15"/>
      <c r="B29" s="16"/>
      <c r="C29" s="15"/>
      <c r="D29" s="15" t="s">
        <v>540</v>
      </c>
      <c r="E29" s="15"/>
      <c r="F29" s="15"/>
      <c r="G29" s="31"/>
      <c r="H29" s="15"/>
      <c r="I29" s="15"/>
      <c r="J29" s="45">
        <v>17180.2</v>
      </c>
      <c r="K29" s="44" t="s">
        <v>196</v>
      </c>
      <c r="L29" s="15"/>
      <c r="N29" t="s">
        <v>77</v>
      </c>
    </row>
    <row r="30" ht="21.75" customHeight="1" spans="1:12">
      <c r="A30" s="15"/>
      <c r="B30" s="16"/>
      <c r="C30" s="15"/>
      <c r="D30" s="15" t="s">
        <v>222</v>
      </c>
      <c r="E30" s="15"/>
      <c r="F30" s="15"/>
      <c r="G30" s="31"/>
      <c r="H30" s="15"/>
      <c r="I30" s="15"/>
      <c r="J30" s="45">
        <v>4655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221</v>
      </c>
      <c r="E31" s="15"/>
      <c r="F31" s="15"/>
      <c r="G31" s="31"/>
      <c r="H31" s="15"/>
      <c r="I31" s="15"/>
      <c r="J31" s="45">
        <v>8783.68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709189.41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20.9712984555007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17.8229089623278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3.14838949317294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125277.22</v>
      </c>
      <c r="K37" s="43" t="s">
        <v>196</v>
      </c>
      <c r="L37" s="12"/>
    </row>
    <row r="38" ht="21.75" customHeight="1" spans="1:12">
      <c r="A38" s="1"/>
      <c r="B38" s="19" t="s">
        <v>541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599993896298105"/>
  </sheetPr>
  <dimension ref="A1:T62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4" width="14.3365384615385" style="156" customWidth="1"/>
    <col min="5" max="6" width="11.5" style="156" customWidth="1"/>
    <col min="7" max="7" width="14.336538461538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542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213" t="s">
        <v>543</v>
      </c>
      <c r="D4" s="95"/>
      <c r="E4" s="95"/>
      <c r="F4" s="96"/>
      <c r="G4" s="96"/>
      <c r="H4" s="56"/>
      <c r="I4" s="56"/>
      <c r="J4" s="56"/>
      <c r="K4" s="64"/>
      <c r="L4" s="114"/>
    </row>
    <row r="5" ht="15" customHeight="1" spans="1:12">
      <c r="A5" s="157"/>
      <c r="B5" s="54" t="s">
        <v>4</v>
      </c>
      <c r="C5" s="757">
        <v>39814</v>
      </c>
      <c r="D5" s="95"/>
      <c r="E5" s="95"/>
      <c r="F5" s="96"/>
      <c r="G5" s="96"/>
      <c r="H5" s="56"/>
      <c r="I5" s="56"/>
      <c r="J5" s="581"/>
      <c r="K5" s="64"/>
      <c r="L5" s="114"/>
    </row>
    <row r="6" ht="15" customHeight="1" spans="1:12">
      <c r="A6" s="157"/>
      <c r="B6" s="57" t="s">
        <v>6</v>
      </c>
      <c r="C6" s="56" t="s">
        <v>368</v>
      </c>
      <c r="D6" s="95"/>
      <c r="E6" s="56"/>
      <c r="F6" s="56"/>
      <c r="G6" s="56"/>
      <c r="H6" s="56"/>
      <c r="I6" s="56"/>
      <c r="J6" s="56"/>
      <c r="K6" s="64"/>
      <c r="L6" s="114"/>
    </row>
    <row r="7" ht="15" customHeight="1" spans="1:12">
      <c r="A7" s="157"/>
      <c r="B7" s="54" t="s">
        <v>230</v>
      </c>
      <c r="C7" s="213" t="s">
        <v>369</v>
      </c>
      <c r="D7" s="95"/>
      <c r="E7" s="56"/>
      <c r="F7" s="56"/>
      <c r="G7" s="56"/>
      <c r="H7" s="56"/>
      <c r="I7" s="213"/>
      <c r="J7" s="213"/>
      <c r="K7" s="64"/>
      <c r="L7" s="114"/>
    </row>
    <row r="8" ht="15" customHeight="1" spans="1:12">
      <c r="A8" s="157"/>
      <c r="B8" s="54" t="s">
        <v>231</v>
      </c>
      <c r="C8" s="213" t="s">
        <v>544</v>
      </c>
      <c r="D8" s="95"/>
      <c r="E8" s="56"/>
      <c r="F8" s="56"/>
      <c r="G8" s="56"/>
      <c r="H8" s="56"/>
      <c r="I8" s="213"/>
      <c r="J8" s="213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545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546</v>
      </c>
      <c r="F13" s="67" t="s">
        <v>547</v>
      </c>
      <c r="G13" s="96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78">
        <v>1</v>
      </c>
      <c r="G14" s="56"/>
      <c r="H14" s="64"/>
      <c r="I14" s="57" t="s">
        <v>248</v>
      </c>
      <c r="J14" s="64"/>
      <c r="K14" s="119">
        <v>21479.2761290323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1880</v>
      </c>
      <c r="E15" s="69">
        <v>1880</v>
      </c>
      <c r="F15" s="69">
        <v>2280</v>
      </c>
      <c r="G15" s="56"/>
      <c r="H15" s="98">
        <f>F15+E15+D15</f>
        <v>6040</v>
      </c>
      <c r="I15" s="57" t="s">
        <v>249</v>
      </c>
      <c r="J15" s="64"/>
      <c r="K15" s="121">
        <v>58.8473318603623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1728</v>
      </c>
      <c r="E16" s="69">
        <v>1728</v>
      </c>
      <c r="F16" s="69">
        <v>2091</v>
      </c>
      <c r="G16" s="96"/>
      <c r="H16" s="98">
        <f>F16+E16+D16</f>
        <v>5547</v>
      </c>
      <c r="I16" s="56" t="s">
        <v>58</v>
      </c>
      <c r="J16" s="56"/>
      <c r="K16" s="122">
        <v>42.8652248087414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56"/>
      <c r="H17" s="98"/>
      <c r="I17" s="56" t="s">
        <v>160</v>
      </c>
      <c r="J17" s="56"/>
      <c r="K17" s="124">
        <v>6.73848859120646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 t="s">
        <v>288</v>
      </c>
      <c r="E18" s="71" t="s">
        <v>548</v>
      </c>
      <c r="F18" s="71">
        <v>760</v>
      </c>
      <c r="G18" s="56"/>
      <c r="H18" s="98">
        <f>F18+E18+D18</f>
        <v>1335</v>
      </c>
      <c r="I18" s="56" t="s">
        <v>155</v>
      </c>
      <c r="J18" s="56"/>
      <c r="K18" s="124">
        <v>32.8269908056612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155</v>
      </c>
      <c r="J19" s="56"/>
      <c r="K19" s="124">
        <v>12.1292794641716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161</v>
      </c>
      <c r="J20" s="56"/>
      <c r="K20" s="124">
        <v>5.51117268984676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12.1525</v>
      </c>
      <c r="E21" s="75">
        <v>10.7366666666667</v>
      </c>
      <c r="F21" s="75">
        <v>10</v>
      </c>
      <c r="G21" s="78"/>
      <c r="H21" s="102"/>
      <c r="I21" s="56"/>
      <c r="J21" s="56"/>
      <c r="K21" s="124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79.6911111111111</v>
      </c>
      <c r="E22" s="75">
        <v>76.8005555555556</v>
      </c>
      <c r="F22" s="75">
        <v>75</v>
      </c>
      <c r="G22" s="78"/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77"/>
      <c r="G23" s="78"/>
      <c r="H23" s="75" t="s">
        <v>549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77"/>
      <c r="G24" s="78"/>
      <c r="H24" s="77" t="s">
        <v>550</v>
      </c>
      <c r="I24" s="127" t="s">
        <v>80</v>
      </c>
      <c r="J24" s="56"/>
      <c r="K24" s="122">
        <v>29.0945580444519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8"/>
      <c r="H25" s="77" t="s">
        <v>551</v>
      </c>
      <c r="I25" s="128" t="s">
        <v>83</v>
      </c>
      <c r="J25" s="56"/>
      <c r="K25" s="122">
        <v>86.4600998867027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552</v>
      </c>
      <c r="I26" s="57" t="s">
        <v>86</v>
      </c>
      <c r="J26" s="56"/>
      <c r="K26" s="122">
        <v>73.3907623881641</v>
      </c>
      <c r="L26" s="123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78"/>
      <c r="G27" s="78"/>
      <c r="H27" s="75" t="s">
        <v>429</v>
      </c>
      <c r="I27" s="129"/>
      <c r="J27" s="130"/>
      <c r="K27" s="131"/>
      <c r="L27" s="132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78"/>
      <c r="G28" s="78"/>
      <c r="H28" s="75" t="s">
        <v>482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7.88666666666667</v>
      </c>
      <c r="E29" s="75">
        <v>8.14</v>
      </c>
      <c r="F29" s="75">
        <v>8.14</v>
      </c>
      <c r="G29" s="78"/>
      <c r="H29" s="78"/>
      <c r="I29" s="66" t="s">
        <v>26</v>
      </c>
      <c r="J29" s="64"/>
      <c r="K29" s="13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49.55</v>
      </c>
      <c r="E30" s="77">
        <v>48.97</v>
      </c>
      <c r="F30" s="77">
        <v>45.4984744744745</v>
      </c>
      <c r="G30" s="78"/>
      <c r="H30" s="78"/>
      <c r="I30" s="66" t="s">
        <v>96</v>
      </c>
      <c r="J30" s="92"/>
      <c r="K30" s="135">
        <f>4423+6023</f>
        <v>10446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4.53995222222222</v>
      </c>
      <c r="E31" s="75">
        <v>4.79804916666667</v>
      </c>
      <c r="F31" s="75">
        <v>4.798</v>
      </c>
      <c r="G31" s="78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7.07</v>
      </c>
      <c r="E32" s="75">
        <v>6.97916666666667</v>
      </c>
      <c r="F32" s="75">
        <v>6.96</v>
      </c>
      <c r="G32" s="78"/>
      <c r="H32" s="78"/>
      <c r="I32" s="66" t="s">
        <v>66</v>
      </c>
      <c r="J32" s="92"/>
      <c r="K32" s="135">
        <f>2290+3812</f>
        <v>6102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69">
        <v>2255.33333333333</v>
      </c>
      <c r="E33" s="77">
        <v>217.52</v>
      </c>
      <c r="F33" s="77">
        <v>220</v>
      </c>
      <c r="G33" s="78"/>
      <c r="H33" s="78"/>
      <c r="I33" s="57" t="s">
        <v>103</v>
      </c>
      <c r="J33" s="64"/>
      <c r="K33" s="136">
        <v>4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0.37125</v>
      </c>
      <c r="E34" s="80">
        <v>0.22475</v>
      </c>
      <c r="F34" s="80">
        <v>0.226</v>
      </c>
      <c r="G34" s="78"/>
      <c r="H34" s="78"/>
      <c r="I34" s="66" t="s">
        <v>105</v>
      </c>
      <c r="J34" s="64"/>
      <c r="K34" s="137">
        <v>9.69090909090909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75.2451515151515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300</v>
      </c>
      <c r="L38" s="120"/>
    </row>
    <row r="39" ht="15" customHeight="1" spans="1:12">
      <c r="A39" s="157"/>
      <c r="B39" s="85" t="s">
        <v>111</v>
      </c>
      <c r="C39" s="64" t="s">
        <v>59</v>
      </c>
      <c r="D39" s="79">
        <v>57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50.6497534246576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 t="s">
        <v>316</v>
      </c>
      <c r="H41" s="67"/>
      <c r="I41" s="66"/>
      <c r="J41" s="64" t="s">
        <v>113</v>
      </c>
      <c r="K41" s="143" t="s">
        <v>116</v>
      </c>
      <c r="L41" s="145">
        <v>42.6813698630137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 t="s">
        <v>119</v>
      </c>
      <c r="H42" s="102"/>
      <c r="I42" s="66"/>
      <c r="J42" s="64" t="s">
        <v>113</v>
      </c>
      <c r="K42" s="143" t="s">
        <v>120</v>
      </c>
      <c r="L42" s="146">
        <v>0.258260273972603</v>
      </c>
    </row>
    <row r="43" ht="15" customHeight="1" spans="1:12">
      <c r="A43" s="157"/>
      <c r="B43" s="66" t="s">
        <v>121</v>
      </c>
      <c r="C43" s="64" t="s">
        <v>122</v>
      </c>
      <c r="D43" s="77">
        <v>400</v>
      </c>
      <c r="E43" s="77">
        <v>350</v>
      </c>
      <c r="F43" s="77">
        <v>400</v>
      </c>
      <c r="G43" s="78">
        <v>400</v>
      </c>
      <c r="H43" s="102"/>
      <c r="I43" s="66"/>
      <c r="J43" s="64" t="s">
        <v>123</v>
      </c>
      <c r="K43" s="144" t="s">
        <v>124</v>
      </c>
      <c r="L43" s="147">
        <v>38.6712328767123</v>
      </c>
    </row>
    <row r="44" ht="15" customHeight="1" spans="1:17">
      <c r="A44" s="157"/>
      <c r="B44" s="66" t="s">
        <v>125</v>
      </c>
      <c r="C44" s="64" t="s">
        <v>122</v>
      </c>
      <c r="D44" s="77">
        <v>420</v>
      </c>
      <c r="E44" s="77">
        <v>360</v>
      </c>
      <c r="F44" s="77">
        <v>420</v>
      </c>
      <c r="G44" s="78">
        <v>420</v>
      </c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38</v>
      </c>
      <c r="E45" s="75">
        <v>38</v>
      </c>
      <c r="F45" s="75">
        <v>38</v>
      </c>
      <c r="G45" s="75">
        <v>38</v>
      </c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42.4</v>
      </c>
      <c r="E46" s="78">
        <v>42.5</v>
      </c>
      <c r="F46" s="78">
        <v>42.4</v>
      </c>
      <c r="G46" s="78">
        <v>42.4</v>
      </c>
      <c r="H46" s="102"/>
      <c r="I46" s="66"/>
      <c r="J46" s="64" t="s">
        <v>131</v>
      </c>
      <c r="K46" s="150">
        <v>208</v>
      </c>
      <c r="L46" s="102">
        <v>105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553</v>
      </c>
      <c r="E47" s="70" t="s">
        <v>133</v>
      </c>
      <c r="F47" s="70" t="s">
        <v>133</v>
      </c>
      <c r="G47" s="70" t="s">
        <v>553</v>
      </c>
      <c r="H47" s="102"/>
      <c r="I47" s="66"/>
      <c r="J47" s="64" t="s">
        <v>134</v>
      </c>
      <c r="K47" s="150">
        <f>K46/K24*100/K25*100</f>
        <v>826.867338516243</v>
      </c>
      <c r="L47" s="174">
        <f>L46/K24*100/K25*100</f>
        <v>417.408993000988</v>
      </c>
    </row>
    <row r="48" ht="15" customHeight="1" spans="1:13">
      <c r="A48" s="157"/>
      <c r="B48" s="66" t="s">
        <v>135</v>
      </c>
      <c r="C48" s="64" t="s">
        <v>240</v>
      </c>
      <c r="D48" s="69">
        <v>5422</v>
      </c>
      <c r="E48" s="69">
        <v>4213</v>
      </c>
      <c r="F48" s="69">
        <v>8682</v>
      </c>
      <c r="G48" s="69">
        <v>5036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4913.6</v>
      </c>
      <c r="E49" s="69">
        <v>3960.25714285714</v>
      </c>
      <c r="F49" s="69">
        <v>8169.1125</v>
      </c>
      <c r="G49" s="69">
        <v>4369.4775</v>
      </c>
      <c r="H49" s="98"/>
      <c r="I49" s="66"/>
      <c r="J49" s="64" t="s">
        <v>139</v>
      </c>
      <c r="K49" s="150">
        <v>23394.0541666667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56.0913242009132</v>
      </c>
      <c r="E50" s="77">
        <v>45.2084148727984</v>
      </c>
      <c r="F50" s="77">
        <v>93.2547089041096</v>
      </c>
      <c r="G50" s="77">
        <v>49.8798801369863</v>
      </c>
      <c r="H50" s="102"/>
      <c r="I50" s="66"/>
      <c r="J50" s="64" t="s">
        <v>141</v>
      </c>
      <c r="K50" s="150">
        <v>397.538060386118</v>
      </c>
      <c r="L50" s="147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3">
      <c r="A55" s="157"/>
      <c r="B55" s="66" t="s">
        <v>146</v>
      </c>
      <c r="C55" s="93">
        <v>692594.302867383</v>
      </c>
      <c r="D55" s="594">
        <v>8.11111500586562</v>
      </c>
      <c r="E55" s="111" t="s">
        <v>147</v>
      </c>
      <c r="F55" s="64"/>
      <c r="G55" s="64" t="s">
        <v>148</v>
      </c>
      <c r="H55" s="64"/>
      <c r="I55" s="69">
        <v>434703.647577433</v>
      </c>
      <c r="J55" s="69">
        <f>I55/9527906.82861535*100</f>
        <v>4.56242546654507</v>
      </c>
      <c r="K55" s="111" t="s">
        <v>149</v>
      </c>
      <c r="L55" s="114"/>
      <c r="M55" s="753"/>
    </row>
    <row r="56" ht="15" customHeight="1" spans="1:12">
      <c r="A56" s="157"/>
      <c r="B56" s="66" t="s">
        <v>430</v>
      </c>
      <c r="C56" s="93">
        <v>79550</v>
      </c>
      <c r="D56" s="594">
        <v>0.931626489050343</v>
      </c>
      <c r="E56" s="111" t="s">
        <v>147</v>
      </c>
      <c r="F56" s="64"/>
      <c r="G56" s="64" t="s">
        <v>257</v>
      </c>
      <c r="H56" s="64"/>
      <c r="I56" s="69">
        <v>3494098.5</v>
      </c>
      <c r="J56" s="69">
        <f>I56/I55*J55</f>
        <v>36.6722572213459</v>
      </c>
      <c r="K56" s="111" t="s">
        <v>149</v>
      </c>
      <c r="L56" s="114"/>
    </row>
    <row r="57" ht="15" customHeight="1" spans="1:12">
      <c r="A57" s="157"/>
      <c r="B57" s="66"/>
      <c r="C57" s="758"/>
      <c r="D57" s="758"/>
      <c r="E57" s="111"/>
      <c r="F57" s="64"/>
      <c r="G57" s="64" t="s">
        <v>554</v>
      </c>
      <c r="H57" s="64"/>
      <c r="I57" s="69">
        <v>2740993.5</v>
      </c>
      <c r="J57" s="69">
        <f>I57/I56*J56</f>
        <v>28.7680552434447</v>
      </c>
      <c r="K57" s="111" t="s">
        <v>149</v>
      </c>
      <c r="L57" s="114"/>
    </row>
    <row r="58" ht="15" customHeight="1" spans="1:12">
      <c r="A58" s="157"/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10">
      <c r="A61" s="157"/>
      <c r="G61"/>
      <c r="H61"/>
      <c r="J61" s="182"/>
    </row>
    <row r="62" ht="16.8" spans="2:8">
      <c r="B62" s="156" t="s">
        <v>77</v>
      </c>
      <c r="G62"/>
      <c r="H62"/>
    </row>
  </sheetData>
  <mergeCells count="1">
    <mergeCell ref="B2:L2"/>
  </mergeCells>
  <pageMargins left="0.7" right="0.7" top="0.787401575" bottom="0.787401575" header="0.3" footer="0.3"/>
  <headerFooter/>
  <ignoredErrors>
    <ignoredError sqref="D18:E18" numberStoredAsText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599993896298105"/>
  </sheetPr>
  <dimension ref="A2:H61"/>
  <sheetViews>
    <sheetView zoomScale="85" zoomScaleNormal="85" workbookViewId="0">
      <selection activeCell="A1" sqref="A1"/>
    </sheetView>
  </sheetViews>
  <sheetFormatPr defaultColWidth="11.5" defaultRowHeight="16.8" outlineLevelCol="7"/>
  <sheetData>
    <row r="2" spans="1:5">
      <c r="A2" t="s">
        <v>154</v>
      </c>
      <c r="B2" t="s">
        <v>155</v>
      </c>
      <c r="C2" t="s">
        <v>155</v>
      </c>
      <c r="D2" t="s">
        <v>58</v>
      </c>
      <c r="E2" t="s">
        <v>538</v>
      </c>
    </row>
    <row r="3" spans="2:4">
      <c r="B3" t="s">
        <v>59</v>
      </c>
      <c r="C3" t="s">
        <v>59</v>
      </c>
      <c r="D3" t="s">
        <v>59</v>
      </c>
    </row>
    <row r="4" spans="1:5">
      <c r="A4" t="s">
        <v>177</v>
      </c>
      <c r="B4">
        <v>12.1080196399345</v>
      </c>
      <c r="C4">
        <v>32.6786688488816</v>
      </c>
      <c r="D4">
        <v>38.342062193126</v>
      </c>
      <c r="E4">
        <v>61.1</v>
      </c>
    </row>
    <row r="5" spans="1:5">
      <c r="A5" t="s">
        <v>166</v>
      </c>
      <c r="B5">
        <v>12.0301797945205</v>
      </c>
      <c r="C5">
        <v>33.1228595890411</v>
      </c>
      <c r="D5">
        <v>41.4372859589041</v>
      </c>
      <c r="E5">
        <v>60.2838709677419</v>
      </c>
    </row>
    <row r="6" spans="1:5">
      <c r="A6" t="s">
        <v>167</v>
      </c>
      <c r="B6">
        <v>11.9407340891234</v>
      </c>
      <c r="C6">
        <v>33.6176899764283</v>
      </c>
      <c r="D6">
        <v>41.1291951958694</v>
      </c>
      <c r="E6">
        <v>59.3933333333333</v>
      </c>
    </row>
    <row r="7" spans="1:5">
      <c r="A7" t="s">
        <v>168</v>
      </c>
      <c r="B7">
        <v>12.0189518468381</v>
      </c>
      <c r="C7">
        <v>33.2516813855046</v>
      </c>
      <c r="D7">
        <v>41.3320011173425</v>
      </c>
      <c r="E7">
        <v>60.0503225806452</v>
      </c>
    </row>
    <row r="8" spans="1:5">
      <c r="A8" t="s">
        <v>169</v>
      </c>
      <c r="B8">
        <v>12.2693651119786</v>
      </c>
      <c r="C8">
        <v>31.7957674131909</v>
      </c>
      <c r="D8">
        <v>42.2611464968153</v>
      </c>
      <c r="E8">
        <v>62.8</v>
      </c>
    </row>
    <row r="9" spans="1:5">
      <c r="A9" t="s">
        <v>170</v>
      </c>
      <c r="B9">
        <v>12.2016342502014</v>
      </c>
      <c r="C9">
        <v>32.1671078374957</v>
      </c>
      <c r="D9">
        <v>42.0278513062493</v>
      </c>
      <c r="E9">
        <v>62.0642857142857</v>
      </c>
    </row>
    <row r="10" spans="1:5">
      <c r="A10" t="s">
        <v>171</v>
      </c>
      <c r="B10">
        <v>12.2886386898669</v>
      </c>
      <c r="C10">
        <v>31.6786079836233</v>
      </c>
      <c r="D10">
        <v>42.3275332650972</v>
      </c>
      <c r="E10">
        <v>63.0322580645161</v>
      </c>
    </row>
    <row r="11" spans="1:5">
      <c r="A11" t="s">
        <v>172</v>
      </c>
      <c r="B11">
        <v>12.228992944195</v>
      </c>
      <c r="C11">
        <v>32.0183878554629</v>
      </c>
      <c r="D11">
        <v>42.1220868077828</v>
      </c>
      <c r="E11">
        <v>62.36</v>
      </c>
    </row>
    <row r="12" spans="1:5">
      <c r="A12" t="s">
        <v>173</v>
      </c>
      <c r="B12">
        <v>12.2986508585446</v>
      </c>
      <c r="C12">
        <v>31.6332788225675</v>
      </c>
      <c r="D12">
        <v>45.778311529027</v>
      </c>
      <c r="E12">
        <v>63.1225806451613</v>
      </c>
    </row>
    <row r="13" spans="1:5">
      <c r="A13" t="s">
        <v>174</v>
      </c>
      <c r="B13">
        <v>12.3514644351464</v>
      </c>
      <c r="C13">
        <v>31.3284518828452</v>
      </c>
      <c r="D13">
        <v>48.0334728033473</v>
      </c>
      <c r="E13">
        <v>63.7333333333333</v>
      </c>
    </row>
    <row r="14" spans="1:5">
      <c r="A14" t="s">
        <v>175</v>
      </c>
      <c r="B14">
        <v>12.3976374011413</v>
      </c>
      <c r="C14">
        <v>31.0841926118731</v>
      </c>
      <c r="D14">
        <v>48.2130343377716</v>
      </c>
      <c r="E14">
        <v>64.4451612903226</v>
      </c>
    </row>
    <row r="15" spans="1:5">
      <c r="A15" t="s">
        <v>176</v>
      </c>
      <c r="B15">
        <v>9.92120901190922</v>
      </c>
      <c r="C15">
        <v>48.5073356707628</v>
      </c>
      <c r="D15">
        <v>36.0103141913742</v>
      </c>
      <c r="E15">
        <v>25.2705376344086</v>
      </c>
    </row>
    <row r="27" spans="1:2">
      <c r="A27" t="s">
        <v>104</v>
      </c>
      <c r="B27" t="s">
        <v>22</v>
      </c>
    </row>
    <row r="28" spans="2:2">
      <c r="B28" t="s">
        <v>62</v>
      </c>
    </row>
    <row r="30" spans="1:2">
      <c r="A30" t="s">
        <v>177</v>
      </c>
      <c r="B30">
        <v>0.328</v>
      </c>
    </row>
    <row r="31" spans="1:2">
      <c r="A31" t="s">
        <v>166</v>
      </c>
      <c r="B31">
        <v>0.514</v>
      </c>
    </row>
    <row r="32" spans="1:2">
      <c r="A32" t="s">
        <v>167</v>
      </c>
      <c r="B32">
        <v>0.349</v>
      </c>
    </row>
    <row r="33" spans="1:2">
      <c r="A33" t="s">
        <v>168</v>
      </c>
      <c r="B33">
        <v>0.335</v>
      </c>
    </row>
    <row r="34" spans="1:2">
      <c r="A34" t="s">
        <v>169</v>
      </c>
      <c r="B34">
        <v>0.365</v>
      </c>
    </row>
    <row r="35" spans="1:2">
      <c r="A35" t="s">
        <v>170</v>
      </c>
      <c r="B35">
        <v>0.311</v>
      </c>
    </row>
    <row r="36" spans="1:2">
      <c r="A36" t="s">
        <v>171</v>
      </c>
      <c r="B36">
        <v>0.421</v>
      </c>
    </row>
    <row r="37" spans="1:2">
      <c r="A37" t="s">
        <v>172</v>
      </c>
      <c r="B37">
        <v>0.382</v>
      </c>
    </row>
    <row r="38" spans="1:2">
      <c r="A38" t="s">
        <v>173</v>
      </c>
      <c r="B38">
        <v>0.293</v>
      </c>
    </row>
    <row r="39" spans="1:2">
      <c r="A39" t="s">
        <v>174</v>
      </c>
      <c r="B39">
        <v>0.27</v>
      </c>
    </row>
    <row r="40" spans="1:2">
      <c r="A40" t="s">
        <v>175</v>
      </c>
      <c r="B40">
        <v>0.451</v>
      </c>
    </row>
    <row r="41" spans="1:2">
      <c r="A41" t="s">
        <v>176</v>
      </c>
      <c r="B41">
        <v>0.241</v>
      </c>
    </row>
    <row r="48" spans="3:8"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184</v>
      </c>
    </row>
    <row r="49" spans="2:6">
      <c r="B49" t="s">
        <v>154</v>
      </c>
      <c r="C49" t="s">
        <v>185</v>
      </c>
      <c r="D49" t="s">
        <v>185</v>
      </c>
      <c r="E49" t="s">
        <v>122</v>
      </c>
      <c r="F49" t="s">
        <v>122</v>
      </c>
    </row>
    <row r="50" spans="2:8">
      <c r="B50" t="s">
        <v>177</v>
      </c>
      <c r="C50">
        <v>391.566933333333</v>
      </c>
      <c r="D50">
        <v>1000.4075</v>
      </c>
      <c r="E50" t="s">
        <v>555</v>
      </c>
      <c r="F50">
        <v>1620</v>
      </c>
      <c r="G50">
        <v>87.7550438596491</v>
      </c>
      <c r="H50">
        <v>24.1707983539095</v>
      </c>
    </row>
    <row r="51" spans="2:8">
      <c r="B51" t="s">
        <v>166</v>
      </c>
      <c r="C51">
        <v>711.725916666667</v>
      </c>
      <c r="D51">
        <v>1012.67725</v>
      </c>
      <c r="E51" t="s">
        <v>555</v>
      </c>
      <c r="F51">
        <v>1620</v>
      </c>
      <c r="G51">
        <v>88.8313377192982</v>
      </c>
      <c r="H51">
        <v>43.9336985596708</v>
      </c>
    </row>
    <row r="52" spans="2:8">
      <c r="B52" t="s">
        <v>167</v>
      </c>
      <c r="C52">
        <v>448.865365591398</v>
      </c>
      <c r="D52">
        <v>989.877416666667</v>
      </c>
      <c r="E52" t="s">
        <v>555</v>
      </c>
      <c r="F52">
        <v>1620</v>
      </c>
      <c r="G52">
        <v>86.8313523391813</v>
      </c>
      <c r="H52">
        <v>27.707738616753</v>
      </c>
    </row>
    <row r="53" spans="2:8">
      <c r="B53" t="s">
        <v>168</v>
      </c>
      <c r="C53">
        <v>1049.36580645161</v>
      </c>
      <c r="D53">
        <v>975.70225</v>
      </c>
      <c r="E53" t="s">
        <v>555</v>
      </c>
      <c r="F53">
        <v>1620</v>
      </c>
      <c r="G53">
        <v>85.5879166666667</v>
      </c>
      <c r="H53">
        <v>64.7756670649144</v>
      </c>
    </row>
    <row r="54" spans="2:8">
      <c r="B54" t="s">
        <v>169</v>
      </c>
      <c r="C54">
        <v>657.507258064516</v>
      </c>
      <c r="D54">
        <v>1030.06825</v>
      </c>
      <c r="E54" t="s">
        <v>555</v>
      </c>
      <c r="F54">
        <v>1620</v>
      </c>
      <c r="G54">
        <v>90.3568640350877</v>
      </c>
      <c r="H54">
        <v>40.5868677817603</v>
      </c>
    </row>
    <row r="55" spans="2:8">
      <c r="B55" t="s">
        <v>170</v>
      </c>
      <c r="C55">
        <v>673.152795698925</v>
      </c>
      <c r="D55">
        <v>1080.35708333333</v>
      </c>
      <c r="E55" t="s">
        <v>555</v>
      </c>
      <c r="F55">
        <v>1620</v>
      </c>
      <c r="G55">
        <v>94.7681652046784</v>
      </c>
      <c r="H55">
        <v>41.5526417098102</v>
      </c>
    </row>
    <row r="56" spans="2:8">
      <c r="B56" t="s">
        <v>171</v>
      </c>
      <c r="C56">
        <v>520.758611111111</v>
      </c>
      <c r="D56">
        <v>1007.48091666667</v>
      </c>
      <c r="E56" t="s">
        <v>555</v>
      </c>
      <c r="F56">
        <v>1620</v>
      </c>
      <c r="G56">
        <v>88.375519005848</v>
      </c>
      <c r="H56">
        <v>32.1455932784637</v>
      </c>
    </row>
    <row r="57" spans="2:8">
      <c r="B57" t="s">
        <v>172</v>
      </c>
      <c r="C57">
        <v>750.771021505376</v>
      </c>
      <c r="D57">
        <v>939.070083333333</v>
      </c>
      <c r="E57" t="s">
        <v>555</v>
      </c>
      <c r="F57">
        <v>1620</v>
      </c>
      <c r="G57">
        <v>82.3745687134503</v>
      </c>
      <c r="H57">
        <v>46.3438902163812</v>
      </c>
    </row>
    <row r="58" spans="2:8">
      <c r="B58" t="s">
        <v>173</v>
      </c>
      <c r="C58">
        <v>682.446666666667</v>
      </c>
      <c r="D58">
        <v>962.466333333333</v>
      </c>
      <c r="E58" t="s">
        <v>555</v>
      </c>
      <c r="F58">
        <v>1620</v>
      </c>
      <c r="G58">
        <v>84.4268713450292</v>
      </c>
      <c r="H58">
        <v>42.1263374485597</v>
      </c>
    </row>
    <row r="59" spans="2:8">
      <c r="B59" t="s">
        <v>174</v>
      </c>
      <c r="C59">
        <v>733.484193548387</v>
      </c>
      <c r="D59">
        <v>917.28175</v>
      </c>
      <c r="E59" t="s">
        <v>555</v>
      </c>
      <c r="F59">
        <v>1620</v>
      </c>
      <c r="G59">
        <v>80.4633114035088</v>
      </c>
      <c r="H59">
        <v>45.2768020708881</v>
      </c>
    </row>
    <row r="60" spans="2:8">
      <c r="B60" t="s">
        <v>175</v>
      </c>
      <c r="C60">
        <v>611.860555555555</v>
      </c>
      <c r="D60">
        <v>914.261416666667</v>
      </c>
      <c r="E60" t="s">
        <v>555</v>
      </c>
      <c r="F60">
        <v>1620</v>
      </c>
      <c r="G60">
        <v>80.1983698830409</v>
      </c>
      <c r="H60">
        <v>37.7691700960219</v>
      </c>
    </row>
    <row r="61" spans="2:8">
      <c r="B61" t="s">
        <v>176</v>
      </c>
      <c r="C61">
        <v>586.385161290322</v>
      </c>
      <c r="D61">
        <v>867.376833333333</v>
      </c>
      <c r="E61" t="s">
        <v>555</v>
      </c>
      <c r="F61">
        <v>1620</v>
      </c>
      <c r="G61">
        <v>76.0856871345029</v>
      </c>
      <c r="H61">
        <v>36.1966148944644</v>
      </c>
    </row>
  </sheetData>
  <pageMargins left="0.7" right="0.7" top="0.787401575" bottom="0.787401575" header="0.3" footer="0.3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599993896298105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542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1550</v>
      </c>
      <c r="G3" s="22"/>
      <c r="H3" s="23" t="s">
        <v>187</v>
      </c>
      <c r="I3" s="5" t="s">
        <v>188</v>
      </c>
      <c r="J3" s="35">
        <v>8573752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1140</v>
      </c>
      <c r="G4" s="216"/>
      <c r="H4" s="25" t="s">
        <v>187</v>
      </c>
      <c r="I4" s="7" t="s">
        <v>191</v>
      </c>
      <c r="J4" s="37">
        <v>4000000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87.0688189150542</v>
      </c>
      <c r="H6" s="27" t="s">
        <v>195</v>
      </c>
      <c r="I6" s="1"/>
      <c r="J6" s="40">
        <v>1647543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12.9311810849458</v>
      </c>
      <c r="H7" s="27" t="s">
        <v>195</v>
      </c>
      <c r="I7" s="1"/>
      <c r="J7" s="40">
        <v>244687.79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1892230.79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45.7016492561815</v>
      </c>
      <c r="H11" s="27" t="s">
        <v>195</v>
      </c>
      <c r="I11" s="1"/>
      <c r="J11" s="40">
        <v>569562.48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40</v>
      </c>
      <c r="F13" s="15" t="s">
        <v>204</v>
      </c>
      <c r="G13" s="31"/>
      <c r="H13" s="15"/>
      <c r="I13" s="15"/>
      <c r="J13" s="45">
        <v>418720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30</v>
      </c>
      <c r="F14" s="15" t="s">
        <v>204</v>
      </c>
      <c r="G14" s="31"/>
      <c r="H14" s="15"/>
      <c r="I14" s="15"/>
      <c r="J14" s="45">
        <v>18000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120</v>
      </c>
      <c r="F15" s="15" t="s">
        <v>204</v>
      </c>
      <c r="G15" s="31"/>
      <c r="H15" s="15"/>
      <c r="I15" s="15"/>
      <c r="J15" s="45">
        <v>75240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1.92575814008738</v>
      </c>
      <c r="H16" s="27" t="s">
        <v>195</v>
      </c>
      <c r="I16" s="1"/>
      <c r="J16" s="40">
        <v>24000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7.86351240535681</v>
      </c>
      <c r="H17" s="27" t="s">
        <v>195</v>
      </c>
      <c r="I17" s="1"/>
      <c r="J17" s="40">
        <v>98000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24.3107860060484</v>
      </c>
      <c r="H18" s="27" t="s">
        <v>195</v>
      </c>
      <c r="I18" s="1"/>
      <c r="J18" s="40">
        <v>302976.19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20.1982941923259</v>
      </c>
      <c r="H19" s="27" t="s">
        <v>195</v>
      </c>
      <c r="I19" s="1"/>
      <c r="J19" s="40">
        <v>251723.75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112163.64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5000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35000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20000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1000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16000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540</v>
      </c>
      <c r="E29" s="15"/>
      <c r="F29" s="15"/>
      <c r="G29" s="31"/>
      <c r="H29" s="15"/>
      <c r="I29" s="15"/>
      <c r="J29" s="45">
        <v>57560.11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5000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1246262.42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4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22.0700434302275</v>
      </c>
      <c r="K34" s="41" t="s">
        <v>226</v>
      </c>
      <c r="L34" s="1"/>
      <c r="N34" t="s">
        <v>77</v>
      </c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14.535788065715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7.53425536451252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645968.37</v>
      </c>
      <c r="K37" s="43" t="s">
        <v>196</v>
      </c>
      <c r="L37" s="12"/>
    </row>
    <row r="38" ht="21.75" customHeight="1" spans="1:12">
      <c r="A38" s="1"/>
      <c r="B38" s="19" t="s">
        <v>541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599993896298105"/>
  </sheetPr>
  <dimension ref="A1:T65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22.3365384615385" style="156" customWidth="1"/>
    <col min="11" max="11" width="13.5" style="156" customWidth="1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556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557</v>
      </c>
      <c r="D4" s="96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2009</v>
      </c>
      <c r="D5" s="96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6" t="s">
        <v>368</v>
      </c>
      <c r="D6" s="9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213" t="s">
        <v>369</v>
      </c>
      <c r="D7" s="96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558</v>
      </c>
      <c r="D8" s="96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559</v>
      </c>
      <c r="D10" s="9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 t="s">
        <v>546</v>
      </c>
      <c r="F13" s="67" t="s">
        <v>547</v>
      </c>
      <c r="G13" s="296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68">
        <v>1</v>
      </c>
      <c r="G14" s="64"/>
      <c r="H14" s="64"/>
      <c r="I14" s="57" t="s">
        <v>248</v>
      </c>
      <c r="J14" s="64"/>
      <c r="K14" s="119">
        <v>19502.869483871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71">
        <v>1526</v>
      </c>
      <c r="E15" s="69">
        <v>1526</v>
      </c>
      <c r="F15" s="69">
        <v>2950</v>
      </c>
      <c r="G15" s="69"/>
      <c r="H15" s="98">
        <f>SUM(D15:F15)</f>
        <v>6002</v>
      </c>
      <c r="I15" s="57" t="s">
        <v>249</v>
      </c>
      <c r="J15" s="64"/>
      <c r="K15" s="121">
        <v>53.4325191338931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71">
        <v>1400</v>
      </c>
      <c r="E16" s="69">
        <v>1400</v>
      </c>
      <c r="F16" s="69">
        <v>2700</v>
      </c>
      <c r="G16" s="69"/>
      <c r="H16" s="98">
        <f>SUM(D16:F16)</f>
        <v>5500</v>
      </c>
      <c r="I16" s="56" t="s">
        <v>157</v>
      </c>
      <c r="J16" s="56"/>
      <c r="K16" s="122">
        <v>5.56972398804362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/>
      <c r="H17" s="98"/>
      <c r="I17" s="56" t="s">
        <v>58</v>
      </c>
      <c r="J17" s="56"/>
      <c r="K17" s="124">
        <v>23.5515804676775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330</v>
      </c>
      <c r="F18" s="71">
        <v>1100</v>
      </c>
      <c r="G18" s="71"/>
      <c r="H18" s="98">
        <f>E18+F18</f>
        <v>1430</v>
      </c>
      <c r="I18" s="56" t="s">
        <v>560</v>
      </c>
      <c r="J18" s="56"/>
      <c r="K18" s="124">
        <v>4.89335172339255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561</v>
      </c>
      <c r="J19" s="56"/>
      <c r="K19" s="124">
        <v>0.749745440083043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155</v>
      </c>
      <c r="J20" s="56"/>
      <c r="K20" s="124">
        <v>43.9232801464646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11.4518181818182</v>
      </c>
      <c r="E21" s="75">
        <v>9.33027777777778</v>
      </c>
      <c r="F21" s="75">
        <v>8.11</v>
      </c>
      <c r="G21" s="78"/>
      <c r="H21" s="102"/>
      <c r="I21" s="56" t="s">
        <v>155</v>
      </c>
      <c r="J21" s="56"/>
      <c r="K21" s="124">
        <v>10.1714468306346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76.8394444444445</v>
      </c>
      <c r="E22" s="75">
        <v>72.4027777777778</v>
      </c>
      <c r="F22" s="75">
        <v>70.9277777777778</v>
      </c>
      <c r="G22" s="78"/>
      <c r="H22" s="78"/>
      <c r="I22" s="57" t="s">
        <v>562</v>
      </c>
      <c r="J22" s="56"/>
      <c r="K22" s="124">
        <v>11.410977250504</v>
      </c>
      <c r="L22" s="123" t="s">
        <v>59</v>
      </c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425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77" t="s">
        <v>563</v>
      </c>
      <c r="I24" s="127" t="s">
        <v>80</v>
      </c>
      <c r="J24" s="56"/>
      <c r="K24" s="122">
        <v>23.191328191145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8"/>
      <c r="H25" s="77" t="s">
        <v>375</v>
      </c>
      <c r="I25" s="128" t="s">
        <v>83</v>
      </c>
      <c r="J25" s="56"/>
      <c r="K25" s="122">
        <v>90.0059086421263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552</v>
      </c>
      <c r="I26" s="57" t="s">
        <v>86</v>
      </c>
      <c r="J26" s="56"/>
      <c r="K26" s="122">
        <v>61.9167356200166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271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564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7.725</v>
      </c>
      <c r="E29" s="75">
        <v>7.8</v>
      </c>
      <c r="F29" s="75">
        <v>7.70416666666667</v>
      </c>
      <c r="G29" s="78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48.8898630136986</v>
      </c>
      <c r="E30" s="77">
        <v>49.3717808219178</v>
      </c>
      <c r="F30" s="77">
        <v>33.4660273972602</v>
      </c>
      <c r="G30" s="78"/>
      <c r="H30" s="78"/>
      <c r="I30" s="66" t="s">
        <v>96</v>
      </c>
      <c r="J30" s="92"/>
      <c r="K30" s="135">
        <v>7634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2.86947625</v>
      </c>
      <c r="E31" s="75">
        <v>3.60389408333333</v>
      </c>
      <c r="F31" s="75">
        <v>3.78941866666667</v>
      </c>
      <c r="G31" s="78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4.75083333333333</v>
      </c>
      <c r="E32" s="75">
        <v>4.92166666666667</v>
      </c>
      <c r="F32" s="75">
        <v>4.89083333333333</v>
      </c>
      <c r="G32" s="78"/>
      <c r="H32" s="78"/>
      <c r="I32" s="66" t="s">
        <v>66</v>
      </c>
      <c r="J32" s="92"/>
      <c r="K32" s="135">
        <v>4200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401</v>
      </c>
      <c r="E33" s="77">
        <v>124</v>
      </c>
      <c r="F33" s="77">
        <v>116</v>
      </c>
      <c r="G33" s="78"/>
      <c r="H33" s="78"/>
      <c r="I33" s="57" t="s">
        <v>103</v>
      </c>
      <c r="J33" s="64"/>
      <c r="K33" s="136">
        <v>1.8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0.250181818181818</v>
      </c>
      <c r="E34" s="80">
        <v>0.191708333333333</v>
      </c>
      <c r="F34" s="80">
        <v>0.183708333333333</v>
      </c>
      <c r="G34" s="78"/>
      <c r="H34" s="78"/>
      <c r="I34" s="66" t="s">
        <v>105</v>
      </c>
      <c r="J34" s="64"/>
      <c r="K34" s="137">
        <v>7.91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69.0832864293907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/>
      <c r="C39" s="64"/>
      <c r="D39" s="78"/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52.9443835616438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/>
      <c r="H41" s="67"/>
      <c r="I41" s="66"/>
      <c r="J41" s="64" t="s">
        <v>113</v>
      </c>
      <c r="K41" s="143" t="s">
        <v>116</v>
      </c>
      <c r="L41" s="145">
        <v>44.4646575342466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/>
      <c r="H42" s="102"/>
      <c r="I42" s="66"/>
      <c r="J42" s="64" t="s">
        <v>113</v>
      </c>
      <c r="K42" s="143" t="s">
        <v>120</v>
      </c>
      <c r="L42" s="146">
        <v>0.275342465753424</v>
      </c>
    </row>
    <row r="43" ht="15" customHeight="1" spans="1:12">
      <c r="A43" s="157"/>
      <c r="B43" s="66" t="s">
        <v>121</v>
      </c>
      <c r="C43" s="64" t="s">
        <v>122</v>
      </c>
      <c r="D43" s="77">
        <v>100</v>
      </c>
      <c r="E43" s="77">
        <v>250</v>
      </c>
      <c r="F43" s="77">
        <v>400</v>
      </c>
      <c r="G43" s="78"/>
      <c r="H43" s="102"/>
      <c r="I43" s="66"/>
      <c r="J43" s="64" t="s">
        <v>123</v>
      </c>
      <c r="K43" s="144" t="s">
        <v>124</v>
      </c>
      <c r="L43" s="147">
        <v>1.27945205479452</v>
      </c>
    </row>
    <row r="44" ht="15" customHeight="1" spans="1:17">
      <c r="A44" s="157"/>
      <c r="B44" s="66" t="s">
        <v>125</v>
      </c>
      <c r="C44" s="64" t="s">
        <v>122</v>
      </c>
      <c r="D44" s="77">
        <v>112</v>
      </c>
      <c r="E44" s="77">
        <v>400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34</v>
      </c>
      <c r="E45" s="78">
        <v>42.5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38</v>
      </c>
      <c r="E46" s="78">
        <v>42.5</v>
      </c>
      <c r="F46" s="78"/>
      <c r="G46" s="78"/>
      <c r="H46" s="102"/>
      <c r="I46" s="66"/>
      <c r="J46" s="64" t="s">
        <v>131</v>
      </c>
      <c r="K46" s="79">
        <v>132.95523865404</v>
      </c>
      <c r="L46" s="147">
        <f>K46*L40/100</f>
        <v>70.3923315182941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553</v>
      </c>
      <c r="E47" s="70" t="s">
        <v>133</v>
      </c>
      <c r="F47" s="78"/>
      <c r="G47" s="78"/>
      <c r="H47" s="102"/>
      <c r="I47" s="66"/>
      <c r="J47" s="64" t="s">
        <v>134</v>
      </c>
      <c r="K47" s="79">
        <f>K46/K24*100/K25*100</f>
        <v>636.955088508956</v>
      </c>
      <c r="L47" s="147">
        <f>K47*L40/100</f>
        <v>337.231945175589</v>
      </c>
    </row>
    <row r="48" ht="15" customHeight="1" spans="1:13">
      <c r="A48" s="157"/>
      <c r="B48" s="66" t="s">
        <v>135</v>
      </c>
      <c r="C48" s="64" t="s">
        <v>240</v>
      </c>
      <c r="D48" s="69">
        <v>1371</v>
      </c>
      <c r="E48" s="69">
        <v>8578</v>
      </c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1242.19999999999</v>
      </c>
      <c r="E49" s="69">
        <v>6473.12</v>
      </c>
      <c r="F49" s="78"/>
      <c r="G49" s="69"/>
      <c r="H49" s="98"/>
      <c r="I49" s="66"/>
      <c r="J49" s="64" t="s">
        <v>139</v>
      </c>
      <c r="K49" s="150">
        <v>4537.60044802867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14.1803652968036</v>
      </c>
      <c r="E50" s="77">
        <v>73.8940639269406</v>
      </c>
      <c r="F50" s="78"/>
      <c r="G50" s="78"/>
      <c r="H50" s="102"/>
      <c r="I50" s="66"/>
      <c r="J50" s="64" t="s">
        <v>141</v>
      </c>
      <c r="K50" s="150">
        <v>84.9220759488842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 t="s">
        <v>565</v>
      </c>
      <c r="J51" s="64"/>
      <c r="K51" s="143"/>
      <c r="L51" s="120"/>
      <c r="N51" s="179"/>
      <c r="R51" s="182"/>
    </row>
    <row r="52" ht="15" customHeight="1" spans="1:18">
      <c r="A52" s="157"/>
      <c r="B52" s="87"/>
      <c r="C52" s="64"/>
      <c r="D52" s="78"/>
      <c r="E52" s="78"/>
      <c r="F52" s="78"/>
      <c r="G52" s="78"/>
      <c r="H52" s="102"/>
      <c r="I52" s="66"/>
      <c r="J52" s="64" t="s">
        <v>139</v>
      </c>
      <c r="K52" s="79">
        <v>10081.0792946221</v>
      </c>
      <c r="L52" s="120"/>
      <c r="N52" s="179"/>
      <c r="R52" s="182"/>
    </row>
    <row r="53" ht="15" customHeight="1" spans="1:14">
      <c r="A53" s="157"/>
      <c r="B53" s="84"/>
      <c r="C53" s="56"/>
      <c r="D53" s="78"/>
      <c r="E53" s="107"/>
      <c r="F53" s="78"/>
      <c r="G53" s="78"/>
      <c r="H53" s="102"/>
      <c r="I53" s="64"/>
      <c r="J53" s="64" t="s">
        <v>341</v>
      </c>
      <c r="K53" s="79">
        <v>178.38696369637</v>
      </c>
      <c r="L53" s="120"/>
      <c r="N53" s="179"/>
    </row>
    <row r="54" ht="15" customHeight="1" spans="1:14">
      <c r="A54" s="157"/>
      <c r="B54" s="88" t="s">
        <v>142</v>
      </c>
      <c r="C54" s="89"/>
      <c r="D54" s="89"/>
      <c r="E54" s="108"/>
      <c r="F54" s="99"/>
      <c r="G54" s="99"/>
      <c r="H54" s="109"/>
      <c r="I54" s="78"/>
      <c r="J54" s="78"/>
      <c r="K54" s="78"/>
      <c r="L54" s="114"/>
      <c r="N54" s="179"/>
    </row>
    <row r="55" ht="15" customHeight="1" spans="1:14">
      <c r="A55" s="157"/>
      <c r="B55" s="90" t="s">
        <v>143</v>
      </c>
      <c r="C55" s="78"/>
      <c r="D55" s="64"/>
      <c r="E55" s="64"/>
      <c r="F55" s="64"/>
      <c r="G55" s="110" t="s">
        <v>144</v>
      </c>
      <c r="H55" s="64"/>
      <c r="I55" s="83"/>
      <c r="J55" s="140"/>
      <c r="K55" s="140"/>
      <c r="L55" s="152"/>
      <c r="N55" s="156" t="s">
        <v>77</v>
      </c>
    </row>
    <row r="56" ht="15" customHeight="1" spans="1:18">
      <c r="A56" s="157"/>
      <c r="B56" s="66"/>
      <c r="C56" s="91" t="s">
        <v>145</v>
      </c>
      <c r="D56" s="92"/>
      <c r="E56" s="92"/>
      <c r="F56" s="64"/>
      <c r="G56" s="64"/>
      <c r="H56" s="64"/>
      <c r="I56" s="78" t="s">
        <v>145</v>
      </c>
      <c r="J56" s="64"/>
      <c r="K56" s="64"/>
      <c r="L56" s="114"/>
      <c r="R56" s="183"/>
    </row>
    <row r="57" ht="15" customHeight="1" spans="1:13">
      <c r="A57" s="157"/>
      <c r="B57" s="66" t="s">
        <v>146</v>
      </c>
      <c r="C57" s="93">
        <v>371464.129945054</v>
      </c>
      <c r="D57" s="69">
        <v>22.4283728087404</v>
      </c>
      <c r="E57" s="111" t="s">
        <v>147</v>
      </c>
      <c r="F57" s="64"/>
      <c r="G57" s="64" t="s">
        <v>148</v>
      </c>
      <c r="H57" s="64"/>
      <c r="I57" s="69">
        <v>188191.176470583</v>
      </c>
      <c r="J57" s="69">
        <v>11.1813896433046</v>
      </c>
      <c r="K57" s="111" t="s">
        <v>149</v>
      </c>
      <c r="L57" s="114"/>
      <c r="M57" s="753"/>
    </row>
    <row r="58" ht="15" customHeight="1" spans="1:12">
      <c r="A58" s="157"/>
      <c r="B58" s="66" t="s">
        <v>430</v>
      </c>
      <c r="C58" s="93">
        <v>82690</v>
      </c>
      <c r="D58" s="69">
        <f>C58/C57*D57</f>
        <v>4.99268165631246</v>
      </c>
      <c r="E58" s="111" t="s">
        <v>147</v>
      </c>
      <c r="F58" s="64"/>
      <c r="G58" s="64"/>
      <c r="H58" s="64"/>
      <c r="I58" s="69"/>
      <c r="J58" s="69"/>
      <c r="K58" s="111"/>
      <c r="L58" s="114"/>
    </row>
    <row r="59" ht="15" customHeight="1" spans="1:12">
      <c r="A59" s="157"/>
      <c r="B59" s="66"/>
      <c r="C59" s="69"/>
      <c r="D59" s="69"/>
      <c r="E59" s="111"/>
      <c r="F59" s="64"/>
      <c r="G59" s="64"/>
      <c r="H59" s="64"/>
      <c r="I59" s="69"/>
      <c r="J59" s="69"/>
      <c r="K59" s="111"/>
      <c r="L59" s="114"/>
    </row>
    <row r="60" ht="15" customHeight="1" spans="1:12">
      <c r="A60" s="157"/>
      <c r="B60" s="66"/>
      <c r="C60" s="92"/>
      <c r="D60" s="69"/>
      <c r="E60" s="64"/>
      <c r="F60" s="64"/>
      <c r="G60" s="64"/>
      <c r="H60" s="64"/>
      <c r="I60" s="69"/>
      <c r="J60" s="69"/>
      <c r="K60" s="111"/>
      <c r="L60" s="114"/>
    </row>
    <row r="61" ht="15" customHeight="1" spans="1:12">
      <c r="A61" s="157"/>
      <c r="B61" s="81"/>
      <c r="C61" s="94"/>
      <c r="D61" s="89"/>
      <c r="E61" s="94"/>
      <c r="F61" s="94"/>
      <c r="G61" s="94"/>
      <c r="H61" s="94"/>
      <c r="I61" s="89"/>
      <c r="J61" s="89"/>
      <c r="K61" s="153"/>
      <c r="L61" s="115"/>
    </row>
    <row r="62" spans="1:1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</row>
    <row r="63" spans="1:1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</row>
    <row r="64" ht="16.8" spans="1:8">
      <c r="A64" s="157"/>
      <c r="G64"/>
      <c r="H64"/>
    </row>
    <row r="65" ht="16.8" spans="7:8">
      <c r="G65"/>
      <c r="H65"/>
    </row>
  </sheetData>
  <mergeCells count="1">
    <mergeCell ref="B2:L2"/>
  </mergeCells>
  <pageMargins left="0.7" right="0.7" top="0.787401575" bottom="0.7874015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599993896298105"/>
  </sheetPr>
  <dimension ref="B2:T34"/>
  <sheetViews>
    <sheetView zoomScale="85" zoomScaleNormal="85" workbookViewId="0">
      <selection activeCell="A1" sqref="A1"/>
    </sheetView>
  </sheetViews>
  <sheetFormatPr defaultColWidth="11.5" defaultRowHeight="16.8"/>
  <sheetData>
    <row r="2" spans="2:10">
      <c r="B2" t="s">
        <v>154</v>
      </c>
      <c r="C2" t="s">
        <v>155</v>
      </c>
      <c r="D2" t="s">
        <v>155</v>
      </c>
      <c r="E2" t="s">
        <v>58</v>
      </c>
      <c r="F2" t="s">
        <v>561</v>
      </c>
      <c r="G2" t="s">
        <v>157</v>
      </c>
      <c r="H2" t="s">
        <v>562</v>
      </c>
      <c r="I2" t="s">
        <v>560</v>
      </c>
      <c r="J2" t="s">
        <v>538</v>
      </c>
    </row>
    <row r="3" spans="3:9">
      <c r="C3" t="s">
        <v>59</v>
      </c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</row>
    <row r="4" spans="2:10">
      <c r="B4" t="s">
        <v>177</v>
      </c>
      <c r="C4">
        <v>4.62692476747242</v>
      </c>
      <c r="D4">
        <v>58.5487544911732</v>
      </c>
      <c r="E4">
        <v>11.5747652923785</v>
      </c>
      <c r="F4">
        <v>3.31035848076087</v>
      </c>
      <c r="G4">
        <v>7.02779489729664</v>
      </c>
      <c r="H4">
        <v>12.6409217908365</v>
      </c>
      <c r="I4">
        <v>2.27048028008187</v>
      </c>
      <c r="J4">
        <v>56.5739333333333</v>
      </c>
    </row>
    <row r="5" spans="2:10">
      <c r="B5" t="s">
        <v>166</v>
      </c>
      <c r="C5">
        <v>10.4046761673865</v>
      </c>
      <c r="D5">
        <v>41.5041052073996</v>
      </c>
      <c r="E5">
        <v>23.4052211514954</v>
      </c>
      <c r="F5">
        <v>0.667541867003504</v>
      </c>
      <c r="G5">
        <v>8.42866310814115</v>
      </c>
      <c r="H5">
        <v>13.2408855227773</v>
      </c>
      <c r="I5">
        <v>2.34890697579659</v>
      </c>
      <c r="J5">
        <v>50.6673548387097</v>
      </c>
    </row>
    <row r="6" spans="2:10">
      <c r="B6" t="s">
        <v>167</v>
      </c>
      <c r="C6">
        <v>11.5266472336036</v>
      </c>
      <c r="D6">
        <v>44.4502340081548</v>
      </c>
      <c r="E6">
        <v>21.8731250231138</v>
      </c>
      <c r="F6">
        <v>0</v>
      </c>
      <c r="G6">
        <v>5.68673762439359</v>
      </c>
      <c r="H6">
        <v>12.7336424739566</v>
      </c>
      <c r="I6">
        <v>3.72961363677761</v>
      </c>
      <c r="J6">
        <v>60.3896333333333</v>
      </c>
    </row>
    <row r="7" spans="2:10">
      <c r="B7" t="s">
        <v>168</v>
      </c>
      <c r="C7">
        <v>14.5601064982902</v>
      </c>
      <c r="D7">
        <v>36.8217584042548</v>
      </c>
      <c r="E7">
        <v>24.2418385958399</v>
      </c>
      <c r="F7">
        <v>0.820097865011892</v>
      </c>
      <c r="G7">
        <v>6.55957502401488</v>
      </c>
      <c r="H7">
        <v>12.6211789955772</v>
      </c>
      <c r="I7">
        <v>4.37544461701112</v>
      </c>
      <c r="J7">
        <v>50.7413870967742</v>
      </c>
    </row>
    <row r="8" spans="2:10">
      <c r="B8" t="s">
        <v>169</v>
      </c>
      <c r="C8">
        <v>12.4453813461512</v>
      </c>
      <c r="D8">
        <v>40.2256711067661</v>
      </c>
      <c r="E8">
        <v>26.0153163061632</v>
      </c>
      <c r="F8">
        <v>0.345974717232202</v>
      </c>
      <c r="G8">
        <v>5.13809116460956</v>
      </c>
      <c r="H8">
        <v>10.7155077599902</v>
      </c>
      <c r="I8">
        <v>5.11405759908754</v>
      </c>
      <c r="J8">
        <v>47.5141935483871</v>
      </c>
    </row>
    <row r="9" spans="2:10">
      <c r="B9" t="s">
        <v>170</v>
      </c>
      <c r="C9">
        <v>13.0137175910074</v>
      </c>
      <c r="D9">
        <v>42.8283152059096</v>
      </c>
      <c r="E9">
        <v>27.7367796079231</v>
      </c>
      <c r="F9">
        <v>0.117360802511856</v>
      </c>
      <c r="G9">
        <v>5.16569655202558</v>
      </c>
      <c r="H9">
        <v>7.15871755458261</v>
      </c>
      <c r="I9">
        <v>3.97941268603982</v>
      </c>
      <c r="J9">
        <v>49.0246428571429</v>
      </c>
    </row>
    <row r="10" spans="2:10">
      <c r="B10" t="s">
        <v>171</v>
      </c>
      <c r="C10">
        <v>15.38722177957</v>
      </c>
      <c r="D10">
        <v>48.6737586109996</v>
      </c>
      <c r="E10">
        <v>21.2647313576267</v>
      </c>
      <c r="F10">
        <v>0.357449721707294</v>
      </c>
      <c r="G10">
        <v>5.52775005579731</v>
      </c>
      <c r="H10">
        <v>6.51625870062227</v>
      </c>
      <c r="I10">
        <v>2.27282977367685</v>
      </c>
      <c r="J10">
        <v>55.7894838709677</v>
      </c>
    </row>
    <row r="11" spans="2:10">
      <c r="B11" t="s">
        <v>172</v>
      </c>
      <c r="C11">
        <v>5.55959300089535</v>
      </c>
      <c r="D11">
        <v>46.7119776747392</v>
      </c>
      <c r="E11">
        <v>22.4758394279613</v>
      </c>
      <c r="F11">
        <v>0</v>
      </c>
      <c r="G11">
        <v>8.35948100537517</v>
      </c>
      <c r="H11">
        <v>11.5620605944993</v>
      </c>
      <c r="I11">
        <v>5.33104829652968</v>
      </c>
      <c r="J11">
        <v>54.1688333333333</v>
      </c>
    </row>
    <row r="12" spans="2:10">
      <c r="B12" t="s">
        <v>173</v>
      </c>
      <c r="C12">
        <v>11.9226599245062</v>
      </c>
      <c r="D12">
        <v>37.9079899489672</v>
      </c>
      <c r="E12">
        <v>21.7525210896173</v>
      </c>
      <c r="F12">
        <v>1.23460630122439</v>
      </c>
      <c r="G12">
        <v>6.37604059515267</v>
      </c>
      <c r="H12">
        <v>8.88352221602611</v>
      </c>
      <c r="I12">
        <v>11.9226599245062</v>
      </c>
      <c r="J12">
        <v>58.0778064516129</v>
      </c>
    </row>
    <row r="13" spans="2:20">
      <c r="B13" t="s">
        <v>174</v>
      </c>
      <c r="C13">
        <v>9.69767135113644</v>
      </c>
      <c r="D13">
        <v>44.0399754201301</v>
      </c>
      <c r="E13">
        <v>26.1123610115254</v>
      </c>
      <c r="F13">
        <v>1.7189030576683</v>
      </c>
      <c r="G13">
        <v>5.11226286708054</v>
      </c>
      <c r="H13">
        <v>7.90081534904103</v>
      </c>
      <c r="I13">
        <v>5.41801094341817</v>
      </c>
      <c r="J13">
        <v>53.3227666666667</v>
      </c>
      <c r="T13" t="s">
        <v>566</v>
      </c>
    </row>
    <row r="14" spans="2:10">
      <c r="B14" t="s">
        <v>175</v>
      </c>
      <c r="C14">
        <v>8.72840243334373</v>
      </c>
      <c r="D14">
        <v>39.5563528121177</v>
      </c>
      <c r="E14">
        <v>28.9580653427775</v>
      </c>
      <c r="F14">
        <v>0.310606051042654</v>
      </c>
      <c r="G14">
        <v>0.608967116533129</v>
      </c>
      <c r="H14">
        <v>14.8021046226714</v>
      </c>
      <c r="I14">
        <v>7.03550162151381</v>
      </c>
      <c r="J14">
        <v>51.1071612903226</v>
      </c>
    </row>
    <row r="15" spans="2:10">
      <c r="B15" t="s">
        <v>176</v>
      </c>
      <c r="C15">
        <v>4.49818124142691</v>
      </c>
      <c r="D15">
        <v>43.0622537733213</v>
      </c>
      <c r="E15">
        <v>28.2638161453241</v>
      </c>
      <c r="F15">
        <v>0.114046416833553</v>
      </c>
      <c r="G15">
        <v>2.56345901678394</v>
      </c>
      <c r="H15">
        <v>17.208575965197</v>
      </c>
      <c r="I15">
        <v>4.2896674411133</v>
      </c>
      <c r="J15">
        <v>55.5235161290322</v>
      </c>
    </row>
    <row r="20" spans="2:3">
      <c r="B20" t="s">
        <v>104</v>
      </c>
      <c r="C20" t="s">
        <v>22</v>
      </c>
    </row>
    <row r="21" spans="3:3">
      <c r="C21" t="s">
        <v>62</v>
      </c>
    </row>
    <row r="23" spans="2:3">
      <c r="B23" t="s">
        <v>177</v>
      </c>
      <c r="C23">
        <v>0.219</v>
      </c>
    </row>
    <row r="24" spans="2:3">
      <c r="B24" t="s">
        <v>166</v>
      </c>
      <c r="C24">
        <v>0.244</v>
      </c>
    </row>
    <row r="25" spans="2:3">
      <c r="B25" t="s">
        <v>167</v>
      </c>
      <c r="C25">
        <v>0.113</v>
      </c>
    </row>
    <row r="26" spans="2:3">
      <c r="B26" t="s">
        <v>168</v>
      </c>
      <c r="C26">
        <v>0.112</v>
      </c>
    </row>
    <row r="27" spans="2:3">
      <c r="B27" t="s">
        <v>169</v>
      </c>
      <c r="C27">
        <v>0.199</v>
      </c>
    </row>
    <row r="28" spans="2:3">
      <c r="B28" t="s">
        <v>170</v>
      </c>
      <c r="C28">
        <v>0.2285</v>
      </c>
    </row>
    <row r="29" spans="2:3">
      <c r="B29" t="s">
        <v>171</v>
      </c>
      <c r="C29">
        <v>0.2775</v>
      </c>
    </row>
    <row r="30" spans="2:3">
      <c r="B30" t="s">
        <v>172</v>
      </c>
      <c r="C30">
        <v>0.245</v>
      </c>
    </row>
    <row r="31" spans="2:3">
      <c r="B31" t="s">
        <v>173</v>
      </c>
      <c r="C31">
        <v>0.3995</v>
      </c>
    </row>
    <row r="32" spans="2:3">
      <c r="B32" t="s">
        <v>174</v>
      </c>
      <c r="C32">
        <v>0.3325</v>
      </c>
    </row>
    <row r="33" spans="2:3">
      <c r="B33" t="s">
        <v>175</v>
      </c>
      <c r="C33">
        <v>0.3225</v>
      </c>
    </row>
    <row r="34" spans="2:3">
      <c r="B34" t="s">
        <v>176</v>
      </c>
      <c r="C34">
        <v>0.2785</v>
      </c>
    </row>
  </sheetData>
  <pageMargins left="0.7" right="0.7" top="0.787401575" bottom="0.787401575" header="0.3" footer="0.3"/>
  <headerFooter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599993896298105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556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750</v>
      </c>
      <c r="G3" s="22"/>
      <c r="H3" s="23" t="s">
        <v>187</v>
      </c>
      <c r="I3" s="5" t="s">
        <v>567</v>
      </c>
      <c r="J3" s="35">
        <v>5407814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712.5</v>
      </c>
      <c r="G4" s="216"/>
      <c r="H4" s="25" t="s">
        <v>187</v>
      </c>
      <c r="I4" s="7" t="s">
        <v>191</v>
      </c>
      <c r="J4" s="37">
        <v>4000000</v>
      </c>
      <c r="K4" s="38" t="s">
        <v>192</v>
      </c>
      <c r="L4" s="1"/>
    </row>
    <row r="5" ht="21.75" customHeight="1" spans="1:13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  <c r="M5" t="s">
        <v>77</v>
      </c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31.4861180747995</v>
      </c>
      <c r="H6" s="27" t="s">
        <v>195</v>
      </c>
      <c r="I6" s="1"/>
      <c r="J6" s="40">
        <v>361837.03</v>
      </c>
      <c r="K6" s="41" t="s">
        <v>196</v>
      </c>
      <c r="L6" s="1"/>
    </row>
    <row r="7" ht="21.75" customHeight="1" spans="1:13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  <c r="M7" t="s">
        <v>77</v>
      </c>
    </row>
    <row r="8" ht="21.75" customHeight="1" spans="1:12">
      <c r="A8" s="1"/>
      <c r="B8" s="11"/>
      <c r="C8" s="1" t="s">
        <v>345</v>
      </c>
      <c r="D8" s="1"/>
      <c r="E8" s="1"/>
      <c r="F8" s="1"/>
      <c r="G8" s="26">
        <v>68.5138819252005</v>
      </c>
      <c r="H8" s="27" t="s">
        <v>195</v>
      </c>
      <c r="I8" s="1"/>
      <c r="J8" s="40">
        <v>787358.4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1149195.43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48.9103691565001</v>
      </c>
      <c r="H11" s="27" t="s">
        <v>195</v>
      </c>
      <c r="I11" s="1"/>
      <c r="J11" s="40">
        <v>503288.31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36.76</v>
      </c>
      <c r="F13" s="15" t="s">
        <v>204</v>
      </c>
      <c r="G13" s="31"/>
      <c r="H13" s="15"/>
      <c r="I13" s="15"/>
      <c r="J13" s="45">
        <v>245373</v>
      </c>
      <c r="K13" s="44" t="s">
        <v>196</v>
      </c>
      <c r="L13" s="15"/>
    </row>
    <row r="14" ht="21.75" customHeight="1" spans="1:14">
      <c r="A14" s="15"/>
      <c r="B14" s="16"/>
      <c r="C14" s="15"/>
      <c r="D14" s="15" t="s">
        <v>205</v>
      </c>
      <c r="E14" s="32">
        <v>30.91</v>
      </c>
      <c r="F14" s="15" t="s">
        <v>204</v>
      </c>
      <c r="G14" s="31"/>
      <c r="H14" s="15"/>
      <c r="I14" s="15"/>
      <c r="J14" s="45">
        <v>32146.4</v>
      </c>
      <c r="K14" s="44" t="s">
        <v>196</v>
      </c>
      <c r="L14" s="15"/>
      <c r="N14" t="s">
        <v>77</v>
      </c>
    </row>
    <row r="15" ht="21.75" customHeight="1" spans="1:12">
      <c r="A15" s="15"/>
      <c r="B15" s="16"/>
      <c r="C15" s="15"/>
      <c r="D15" s="15" t="s">
        <v>242</v>
      </c>
      <c r="E15" s="32">
        <v>57.66</v>
      </c>
      <c r="F15" s="15" t="s">
        <v>204</v>
      </c>
      <c r="G15" s="31"/>
      <c r="H15" s="15"/>
      <c r="I15" s="15"/>
      <c r="J15" s="45">
        <v>186703.08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2.42565303006192</v>
      </c>
      <c r="H16" s="27" t="s">
        <v>195</v>
      </c>
      <c r="I16" s="1"/>
      <c r="J16" s="40">
        <v>24960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8.23933498623058</v>
      </c>
      <c r="H17" s="27" t="s">
        <v>195</v>
      </c>
      <c r="I17" s="1"/>
      <c r="J17" s="40">
        <v>84782.86</v>
      </c>
      <c r="K17" s="41" t="s">
        <v>196</v>
      </c>
      <c r="L17" s="1"/>
    </row>
    <row r="18" ht="21.75" customHeight="1" spans="1:12">
      <c r="A18" s="1"/>
      <c r="B18" s="11"/>
      <c r="C18" s="1" t="s">
        <v>568</v>
      </c>
      <c r="D18" s="1"/>
      <c r="E18" s="1"/>
      <c r="F18" s="1"/>
      <c r="G18" s="26">
        <v>21.1653902266883</v>
      </c>
      <c r="H18" s="27" t="s">
        <v>195</v>
      </c>
      <c r="I18" s="1"/>
      <c r="J18" s="40">
        <v>217792.13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19.2592526005192</v>
      </c>
      <c r="H19" s="27" t="s">
        <v>195</v>
      </c>
      <c r="I19" s="1"/>
      <c r="J19" s="40">
        <v>198177.95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80854.18</v>
      </c>
      <c r="K22" s="44" t="s">
        <v>196</v>
      </c>
      <c r="L22" s="17"/>
    </row>
    <row r="23" ht="21.75" customHeight="1" spans="1:13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4050</v>
      </c>
      <c r="K23" s="44" t="s">
        <v>196</v>
      </c>
      <c r="L23" s="15"/>
      <c r="M23" t="s">
        <v>77</v>
      </c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27942.66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584.8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38607.17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46139.14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1029001.25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21.2506463794798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19.0280444186875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2.22260196079229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120194.18</v>
      </c>
      <c r="K37" s="43" t="s">
        <v>196</v>
      </c>
      <c r="L37" s="12"/>
    </row>
    <row r="38" ht="21.75" customHeight="1" spans="1:12">
      <c r="A38" s="1"/>
      <c r="B38" s="1" t="s">
        <v>569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570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21.75" customHeight="1" spans="1:1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T65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4" width="15.5" style="156" customWidth="1"/>
    <col min="5" max="5" width="14.5" style="156" customWidth="1"/>
    <col min="6" max="7" width="11.5" style="156" customWidth="1"/>
    <col min="8" max="8" width="15.163461538461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571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5" t="s">
        <v>572</v>
      </c>
      <c r="D4" s="96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2005</v>
      </c>
      <c r="D5" s="96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6" t="s">
        <v>368</v>
      </c>
      <c r="D6" s="9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9</v>
      </c>
      <c r="D7" s="96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280</v>
      </c>
      <c r="D8" s="96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281</v>
      </c>
      <c r="D9" s="9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573</v>
      </c>
      <c r="D10" s="9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4"/>
      <c r="G13" s="296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64"/>
      <c r="G14" s="64"/>
      <c r="H14" s="64"/>
      <c r="I14" s="57" t="s">
        <v>248</v>
      </c>
      <c r="J14" s="64"/>
      <c r="K14" s="119">
        <v>11150.8394193548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2262</v>
      </c>
      <c r="E15" s="69">
        <v>2260</v>
      </c>
      <c r="F15" s="64"/>
      <c r="G15" s="69"/>
      <c r="H15" s="98">
        <v>4522</v>
      </c>
      <c r="I15" s="57" t="s">
        <v>249</v>
      </c>
      <c r="J15" s="64"/>
      <c r="K15" s="121">
        <v>30.5502449845338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2036</v>
      </c>
      <c r="E16" s="69">
        <v>2036</v>
      </c>
      <c r="F16" s="64"/>
      <c r="G16" s="69"/>
      <c r="H16" s="98">
        <v>4072</v>
      </c>
      <c r="I16" s="56" t="s">
        <v>574</v>
      </c>
      <c r="J16" s="56"/>
      <c r="K16" s="122">
        <v>2.27852801430352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64"/>
      <c r="G17" s="70"/>
      <c r="H17" s="98"/>
      <c r="I17" s="56" t="s">
        <v>157</v>
      </c>
      <c r="J17" s="56"/>
      <c r="K17" s="124">
        <v>28.6368575486558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 t="s">
        <v>288</v>
      </c>
      <c r="E18" s="71" t="s">
        <v>288</v>
      </c>
      <c r="F18" s="64"/>
      <c r="G18" s="71"/>
      <c r="H18" s="98">
        <v>0</v>
      </c>
      <c r="I18" s="56" t="s">
        <v>58</v>
      </c>
      <c r="J18" s="56"/>
      <c r="K18" s="124">
        <v>45.501883841975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94"/>
      <c r="G19" s="70"/>
      <c r="H19" s="100"/>
      <c r="I19" s="56" t="s">
        <v>250</v>
      </c>
      <c r="J19" s="56"/>
      <c r="K19" s="124">
        <v>22.8805644494486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64"/>
      <c r="G20" s="74"/>
      <c r="H20" s="101"/>
      <c r="I20" s="56" t="s">
        <v>575</v>
      </c>
      <c r="J20" s="56"/>
      <c r="K20" s="124">
        <v>3.96234743756684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10.3960606060606</v>
      </c>
      <c r="E21" s="75">
        <v>8.48083333333333</v>
      </c>
      <c r="F21" s="64"/>
      <c r="G21" s="78"/>
      <c r="H21" s="102"/>
      <c r="I21" s="56" t="s">
        <v>576</v>
      </c>
      <c r="J21" s="56"/>
      <c r="K21" s="124">
        <v>0.998714050232851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77.2908333333333</v>
      </c>
      <c r="E22" s="75">
        <v>73.4372222222222</v>
      </c>
      <c r="F22" s="64"/>
      <c r="G22" s="78"/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64"/>
      <c r="G23" s="78"/>
      <c r="H23" s="75" t="s">
        <v>339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64"/>
      <c r="G24" s="78"/>
      <c r="H24" s="77" t="s">
        <v>577</v>
      </c>
      <c r="I24" s="127" t="s">
        <v>80</v>
      </c>
      <c r="J24" s="56"/>
      <c r="K24" s="122">
        <v>34.3371732161577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64"/>
      <c r="G25" s="78"/>
      <c r="H25" s="77" t="s">
        <v>296</v>
      </c>
      <c r="I25" s="128" t="s">
        <v>83</v>
      </c>
      <c r="J25" s="56"/>
      <c r="K25" s="122">
        <v>98.8165598253143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64"/>
      <c r="G26" s="78"/>
      <c r="H26" s="78" t="s">
        <v>578</v>
      </c>
      <c r="I26" s="57" t="s">
        <v>86</v>
      </c>
      <c r="J26" s="56"/>
      <c r="K26" s="122">
        <v>67.8045691908717</v>
      </c>
      <c r="L26" s="123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64"/>
      <c r="G27" s="78"/>
      <c r="H27" s="75" t="s">
        <v>299</v>
      </c>
      <c r="I27" s="129"/>
      <c r="J27" s="130"/>
      <c r="K27" s="131"/>
      <c r="L27" s="132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64"/>
      <c r="G28" s="78"/>
      <c r="H28" s="75" t="s">
        <v>238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8.03833333333333</v>
      </c>
      <c r="E29" s="75">
        <v>8.135</v>
      </c>
      <c r="F29" s="64"/>
      <c r="G29" s="78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f>AVERAGE(46.2,46.53,45.1,39.8,49.2)</f>
        <v>45.366</v>
      </c>
      <c r="E30" s="77">
        <f>AVERAGE(41,48.32,40.1,41.3,42.1)</f>
        <v>42.564</v>
      </c>
      <c r="F30" s="64"/>
      <c r="G30" s="78"/>
      <c r="H30" s="78"/>
      <c r="I30" s="66" t="s">
        <v>96</v>
      </c>
      <c r="J30" s="92"/>
      <c r="K30" s="135">
        <v>1710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3.67842541666667</v>
      </c>
      <c r="E31" s="75">
        <v>4.43320966666667</v>
      </c>
      <c r="F31" s="64"/>
      <c r="G31" s="78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5.81708333333333</v>
      </c>
      <c r="E32" s="75">
        <v>5.8725</v>
      </c>
      <c r="F32" s="64"/>
      <c r="G32" s="78"/>
      <c r="H32" s="78"/>
      <c r="I32" s="66" t="s">
        <v>66</v>
      </c>
      <c r="J32" s="92"/>
      <c r="K32" s="135">
        <v>1050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367.647916666667</v>
      </c>
      <c r="E33" s="77">
        <v>305.53375</v>
      </c>
      <c r="F33" s="64"/>
      <c r="G33" s="78"/>
      <c r="H33" s="78"/>
      <c r="I33" s="57" t="s">
        <v>103</v>
      </c>
      <c r="J33" s="64"/>
      <c r="K33" s="136">
        <v>1.4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0.226209090909091</v>
      </c>
      <c r="E34" s="80">
        <v>0.199083333333333</v>
      </c>
      <c r="F34" s="64"/>
      <c r="G34" s="78"/>
      <c r="H34" s="78"/>
      <c r="I34" s="66" t="s">
        <v>105</v>
      </c>
      <c r="J34" s="64"/>
      <c r="K34" s="137">
        <v>8.01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68.49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76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52.7541666666667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887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888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600</v>
      </c>
      <c r="E43" s="77">
        <v>400</v>
      </c>
      <c r="F43" s="77"/>
      <c r="G43" s="78"/>
      <c r="H43" s="102"/>
      <c r="I43" s="66"/>
      <c r="J43" s="64" t="s">
        <v>123</v>
      </c>
      <c r="K43" s="144" t="s">
        <v>124</v>
      </c>
      <c r="L43" s="889" t="s">
        <v>117</v>
      </c>
    </row>
    <row r="44" ht="15" customHeight="1" spans="1:17">
      <c r="A44" s="157"/>
      <c r="B44" s="66" t="s">
        <v>125</v>
      </c>
      <c r="C44" s="64" t="s">
        <v>122</v>
      </c>
      <c r="D44" s="77">
        <v>565</v>
      </c>
      <c r="E44" s="77">
        <v>376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42.5</v>
      </c>
      <c r="E45" s="78">
        <v>42.5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40</v>
      </c>
      <c r="E46" s="75">
        <v>40</v>
      </c>
      <c r="F46" s="78"/>
      <c r="G46" s="78"/>
      <c r="H46" s="102"/>
      <c r="I46" s="66"/>
      <c r="J46" s="64" t="s">
        <v>131</v>
      </c>
      <c r="K46" s="79">
        <v>240.909786581986</v>
      </c>
      <c r="L46" s="147">
        <f>K46*L40/100</f>
        <v>127.089950329772</v>
      </c>
      <c r="M46" s="180"/>
    </row>
    <row r="47" ht="15" customHeight="1" spans="1:12">
      <c r="A47" s="157"/>
      <c r="B47" s="57" t="s">
        <v>132</v>
      </c>
      <c r="C47" s="56" t="s">
        <v>62</v>
      </c>
      <c r="D47" s="69" t="s">
        <v>579</v>
      </c>
      <c r="E47" s="69" t="s">
        <v>553</v>
      </c>
      <c r="F47" s="78"/>
      <c r="G47" s="78"/>
      <c r="H47" s="102"/>
      <c r="I47" s="66"/>
      <c r="J47" s="64" t="s">
        <v>134</v>
      </c>
      <c r="K47" s="79">
        <f>K46/K24/K25*100*100</f>
        <v>710.002982705914</v>
      </c>
      <c r="L47" s="147">
        <f>K47*L40/100</f>
        <v>374.556156834982</v>
      </c>
    </row>
    <row r="48" ht="15" customHeight="1" spans="1:13">
      <c r="A48" s="157"/>
      <c r="B48" s="66" t="s">
        <v>135</v>
      </c>
      <c r="C48" s="64" t="s">
        <v>240</v>
      </c>
      <c r="D48" s="69"/>
      <c r="E48" s="69"/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580</v>
      </c>
      <c r="C49" s="64" t="s">
        <v>240</v>
      </c>
      <c r="D49" s="69">
        <f>24*D50</f>
        <v>1556.9882311828</v>
      </c>
      <c r="E49" s="69"/>
      <c r="F49" s="78"/>
      <c r="G49" s="69"/>
      <c r="H49" s="98"/>
      <c r="I49" s="66"/>
      <c r="J49" s="64" t="s">
        <v>139</v>
      </c>
      <c r="K49" s="150">
        <v>15569.882311828</v>
      </c>
      <c r="L49" s="231"/>
    </row>
    <row r="50" ht="15" customHeight="1" spans="1:20">
      <c r="A50" s="157"/>
      <c r="B50" s="57" t="s">
        <v>581</v>
      </c>
      <c r="C50" s="64" t="s">
        <v>59</v>
      </c>
      <c r="D50" s="77">
        <f>K49/24/1000*100</f>
        <v>64.8745096326165</v>
      </c>
      <c r="E50" s="77"/>
      <c r="F50" s="78"/>
      <c r="G50" s="78"/>
      <c r="H50" s="102"/>
      <c r="I50" s="66"/>
      <c r="J50" s="64" t="s">
        <v>141</v>
      </c>
      <c r="K50" s="150">
        <v>509.648361893998</v>
      </c>
      <c r="L50" s="120"/>
      <c r="N50" s="179"/>
      <c r="R50" s="182"/>
      <c r="S50" s="182"/>
      <c r="T50" s="182"/>
    </row>
    <row r="51" ht="15" customHeight="1" spans="1:18">
      <c r="A51" s="157"/>
      <c r="B51" s="57"/>
      <c r="C51" s="64"/>
      <c r="D51" s="77"/>
      <c r="E51" s="77"/>
      <c r="F51" s="78"/>
      <c r="G51" s="78"/>
      <c r="H51" s="102"/>
      <c r="I51" s="64"/>
      <c r="J51" s="64"/>
      <c r="K51" s="150"/>
      <c r="L51" s="120"/>
      <c r="N51" s="179"/>
      <c r="R51" s="182"/>
    </row>
    <row r="52" ht="15" customHeight="1" spans="1:14">
      <c r="A52" s="157"/>
      <c r="B52" s="755" t="s">
        <v>582</v>
      </c>
      <c r="C52" s="64"/>
      <c r="D52" s="78"/>
      <c r="E52" s="78"/>
      <c r="F52" s="78"/>
      <c r="G52" s="78"/>
      <c r="H52" s="102"/>
      <c r="I52" s="65"/>
      <c r="J52" s="64"/>
      <c r="K52" s="143"/>
      <c r="L52" s="120"/>
      <c r="N52" s="179"/>
    </row>
    <row r="53" ht="15" customHeight="1" spans="1:14">
      <c r="A53" s="157"/>
      <c r="B53" s="88" t="s">
        <v>142</v>
      </c>
      <c r="C53" s="89"/>
      <c r="D53" s="89"/>
      <c r="E53" s="108"/>
      <c r="F53" s="99"/>
      <c r="G53" s="99"/>
      <c r="H53" s="109"/>
      <c r="I53" s="78"/>
      <c r="J53" s="78"/>
      <c r="K53" s="78"/>
      <c r="L53" s="114"/>
      <c r="N53" s="156" t="s">
        <v>77</v>
      </c>
    </row>
    <row r="54" ht="15" customHeight="1" spans="1:18">
      <c r="A54" s="157"/>
      <c r="B54" s="90" t="s">
        <v>143</v>
      </c>
      <c r="C54" s="78"/>
      <c r="D54" s="64"/>
      <c r="E54" s="64"/>
      <c r="F54" s="64"/>
      <c r="G54" s="110" t="s">
        <v>144</v>
      </c>
      <c r="H54" s="64"/>
      <c r="I54" s="83"/>
      <c r="J54" s="140"/>
      <c r="K54" s="140"/>
      <c r="L54" s="152"/>
      <c r="R54" s="183"/>
    </row>
    <row r="55" ht="15" customHeight="1" spans="1:13">
      <c r="A55" s="157"/>
      <c r="B55" s="66"/>
      <c r="C55" s="91"/>
      <c r="D55" s="92"/>
      <c r="E55" s="92"/>
      <c r="F55" s="64"/>
      <c r="G55" s="64"/>
      <c r="H55" s="64"/>
      <c r="I55" s="78" t="s">
        <v>145</v>
      </c>
      <c r="J55" s="64"/>
      <c r="K55" s="64"/>
      <c r="L55" s="114"/>
      <c r="M55" s="753"/>
    </row>
    <row r="56" ht="15" customHeight="1" spans="1:12">
      <c r="A56" s="157"/>
      <c r="B56" s="66" t="s">
        <v>506</v>
      </c>
      <c r="C56" s="69"/>
      <c r="D56" s="69"/>
      <c r="E56" s="111"/>
      <c r="F56" s="64"/>
      <c r="G56" s="64" t="s">
        <v>148</v>
      </c>
      <c r="H56" s="64"/>
      <c r="I56" s="69">
        <v>932742</v>
      </c>
      <c r="J56" s="69">
        <f>I56/5348712.51182796*100</f>
        <v>17.4386265468067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257</v>
      </c>
      <c r="H57" s="64"/>
      <c r="I57" s="69">
        <v>5169420</v>
      </c>
      <c r="J57" s="69">
        <f>I57/5348712.51182796*100</f>
        <v>96.647931414682</v>
      </c>
      <c r="K57" s="111" t="s">
        <v>149</v>
      </c>
      <c r="L57" s="114"/>
    </row>
    <row r="58" ht="15" customHeight="1" spans="1:12">
      <c r="A58" s="157"/>
      <c r="B58" s="66"/>
      <c r="C58" s="69"/>
      <c r="D58" s="69"/>
      <c r="E58" s="111"/>
      <c r="F58" s="64"/>
      <c r="G58" s="64" t="s">
        <v>258</v>
      </c>
      <c r="H58" s="64"/>
      <c r="I58" s="69">
        <v>243902</v>
      </c>
      <c r="J58" s="69">
        <f>I58/5348712.51182796*100</f>
        <v>4.56001326413868</v>
      </c>
      <c r="K58" s="111" t="s">
        <v>149</v>
      </c>
      <c r="L58" s="114"/>
    </row>
    <row r="59" spans="1:12">
      <c r="A59" s="157"/>
      <c r="B59" s="81"/>
      <c r="C59" s="94"/>
      <c r="D59" s="89"/>
      <c r="E59" s="94"/>
      <c r="F59" s="94"/>
      <c r="G59" s="94"/>
      <c r="H59" s="94"/>
      <c r="I59" s="89"/>
      <c r="J59" s="89"/>
      <c r="K59" s="153"/>
      <c r="L59" s="115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753"/>
      <c r="K60" s="157"/>
      <c r="L60" s="157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ht="16.8" spans="7:8">
      <c r="G62"/>
      <c r="H62"/>
    </row>
    <row r="63" ht="16.8" spans="7:8">
      <c r="G63"/>
      <c r="H63"/>
    </row>
    <row r="65" spans="2:2">
      <c r="B65" s="156" t="s">
        <v>77</v>
      </c>
    </row>
  </sheetData>
  <mergeCells count="3">
    <mergeCell ref="B2:L2"/>
    <mergeCell ref="D49:E49"/>
    <mergeCell ref="D50:E50"/>
  </mergeCells>
  <pageMargins left="0.7" right="0.7" top="0.787401575" bottom="0.787401575" header="0.3" footer="0.3"/>
  <headerFooter/>
  <ignoredErrors>
    <ignoredError sqref="D18:E18" numberStoredAsText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B4:J59"/>
  <sheetViews>
    <sheetView zoomScale="85" zoomScaleNormal="85" workbookViewId="0">
      <selection activeCell="A1" sqref="A1"/>
    </sheetView>
  </sheetViews>
  <sheetFormatPr defaultColWidth="11.5" defaultRowHeight="16.8"/>
  <sheetData>
    <row r="4" spans="3:10">
      <c r="C4" t="s">
        <v>154</v>
      </c>
      <c r="D4" t="s">
        <v>58</v>
      </c>
      <c r="E4" t="s">
        <v>574</v>
      </c>
      <c r="F4" t="s">
        <v>575</v>
      </c>
      <c r="G4" t="s">
        <v>157</v>
      </c>
      <c r="H4" t="s">
        <v>250</v>
      </c>
      <c r="I4" t="s">
        <v>576</v>
      </c>
      <c r="J4" t="s">
        <v>538</v>
      </c>
    </row>
    <row r="5" spans="4:9">
      <c r="D5" t="s">
        <v>59</v>
      </c>
      <c r="E5" t="s">
        <v>59</v>
      </c>
      <c r="F5" t="s">
        <v>59</v>
      </c>
      <c r="G5" t="s">
        <v>59</v>
      </c>
      <c r="H5" t="s">
        <v>59</v>
      </c>
      <c r="I5" t="s">
        <v>59</v>
      </c>
    </row>
    <row r="6" spans="3:10">
      <c r="C6" t="s">
        <v>177</v>
      </c>
      <c r="D6">
        <v>51.4663455749549</v>
      </c>
      <c r="E6">
        <v>0</v>
      </c>
      <c r="F6">
        <v>0</v>
      </c>
      <c r="G6">
        <v>34.5252257676099</v>
      </c>
      <c r="H6">
        <v>14.0084286574353</v>
      </c>
      <c r="I6">
        <v>0</v>
      </c>
      <c r="J6">
        <v>34.6041666666667</v>
      </c>
    </row>
    <row r="7" spans="3:10">
      <c r="C7" t="s">
        <v>166</v>
      </c>
      <c r="D7">
        <v>50.6332227301204</v>
      </c>
      <c r="E7">
        <v>0</v>
      </c>
      <c r="F7">
        <v>0</v>
      </c>
      <c r="G7">
        <v>38.61243241989</v>
      </c>
      <c r="H7">
        <v>10.7543448499896</v>
      </c>
      <c r="I7">
        <v>0</v>
      </c>
      <c r="J7">
        <v>34.7556451612903</v>
      </c>
    </row>
    <row r="8" spans="3:10">
      <c r="C8" t="s">
        <v>167</v>
      </c>
      <c r="D8">
        <v>45.8329462477472</v>
      </c>
      <c r="E8">
        <v>2.80838334479107</v>
      </c>
      <c r="F8">
        <v>1.8473272514446</v>
      </c>
      <c r="G8">
        <v>44.8282269002806</v>
      </c>
      <c r="H8">
        <v>5.80767730068189</v>
      </c>
      <c r="I8">
        <v>0.722766206499322</v>
      </c>
      <c r="J8">
        <v>35.8806666666667</v>
      </c>
    </row>
    <row r="9" spans="3:10">
      <c r="C9" t="s">
        <v>168</v>
      </c>
      <c r="D9">
        <v>41.5538194444445</v>
      </c>
      <c r="E9">
        <v>3.20601851851852</v>
      </c>
      <c r="F9">
        <v>21.5219907407407</v>
      </c>
      <c r="G9">
        <v>26.9710648148148</v>
      </c>
      <c r="H9">
        <v>21.5451388888889</v>
      </c>
      <c r="I9">
        <v>6.72395833333334</v>
      </c>
      <c r="J9">
        <v>27.8709677419355</v>
      </c>
    </row>
    <row r="10" spans="3:10">
      <c r="C10" t="s">
        <v>169</v>
      </c>
      <c r="D10">
        <v>49.020471442162</v>
      </c>
      <c r="E10">
        <v>3.54462492512596</v>
      </c>
      <c r="F10">
        <v>29.9408054684472</v>
      </c>
      <c r="G10">
        <v>13.5830309009549</v>
      </c>
      <c r="H10">
        <v>28.5252457630105</v>
      </c>
      <c r="I10">
        <v>5.3266269687467</v>
      </c>
      <c r="J10">
        <v>18.3103225806452</v>
      </c>
    </row>
    <row r="11" spans="3:10">
      <c r="C11" t="s">
        <v>170</v>
      </c>
      <c r="D11">
        <v>47.3264767569672</v>
      </c>
      <c r="E11">
        <v>2.12371402602611</v>
      </c>
      <c r="F11">
        <v>9.66721650027736</v>
      </c>
      <c r="G11">
        <v>25.9046275304177</v>
      </c>
      <c r="H11">
        <v>22.412427898372</v>
      </c>
      <c r="I11">
        <v>2.23275378821697</v>
      </c>
      <c r="J11">
        <v>24.4013214285714</v>
      </c>
    </row>
    <row r="12" spans="3:10">
      <c r="C12" t="s">
        <v>171</v>
      </c>
      <c r="D12">
        <v>44.8270585652414</v>
      </c>
      <c r="E12">
        <v>6.16189101263381</v>
      </c>
      <c r="F12">
        <v>0</v>
      </c>
      <c r="G12">
        <v>23.970301574735</v>
      </c>
      <c r="H12">
        <v>25.0407488473897</v>
      </c>
      <c r="I12">
        <v>0</v>
      </c>
      <c r="J12">
        <v>24.2437096774193</v>
      </c>
    </row>
    <row r="13" spans="3:10">
      <c r="C13" t="s">
        <v>172</v>
      </c>
      <c r="D13">
        <v>35.7559998294898</v>
      </c>
      <c r="E13">
        <v>5.86661835542862</v>
      </c>
      <c r="F13">
        <v>0</v>
      </c>
      <c r="G13">
        <v>32.5450786478537</v>
      </c>
      <c r="H13">
        <v>25.8323031672279</v>
      </c>
      <c r="I13">
        <v>0</v>
      </c>
      <c r="J13">
        <v>31.2786666666667</v>
      </c>
    </row>
    <row r="14" spans="3:10">
      <c r="C14" t="s">
        <v>173</v>
      </c>
      <c r="D14">
        <v>37.2377729350133</v>
      </c>
      <c r="E14">
        <v>2.82407429198104</v>
      </c>
      <c r="F14">
        <v>0</v>
      </c>
      <c r="G14">
        <v>31.9793466033446</v>
      </c>
      <c r="H14">
        <v>27.958806169661</v>
      </c>
      <c r="I14">
        <v>0</v>
      </c>
      <c r="J14">
        <v>34.2675806451613</v>
      </c>
    </row>
    <row r="15" spans="3:10">
      <c r="C15" t="s">
        <v>174</v>
      </c>
      <c r="D15">
        <v>41.7511319788461</v>
      </c>
      <c r="E15">
        <v>0.351382459271579</v>
      </c>
      <c r="F15">
        <v>0</v>
      </c>
      <c r="G15">
        <v>24.9364925641793</v>
      </c>
      <c r="H15">
        <v>32.9609929977031</v>
      </c>
      <c r="I15">
        <v>0</v>
      </c>
      <c r="J15">
        <v>32.8701666666667</v>
      </c>
    </row>
    <row r="16" spans="3:10">
      <c r="C16" t="s">
        <v>175</v>
      </c>
      <c r="D16">
        <v>43.3072633724532</v>
      </c>
      <c r="E16">
        <v>1.70651988470552</v>
      </c>
      <c r="F16">
        <v>0</v>
      </c>
      <c r="G16">
        <v>17.0396077832751</v>
      </c>
      <c r="H16">
        <v>37.9466089595661</v>
      </c>
      <c r="I16">
        <v>0</v>
      </c>
      <c r="J16">
        <v>35.9248387096774</v>
      </c>
    </row>
    <row r="17" spans="3:10">
      <c r="C17" t="s">
        <v>176</v>
      </c>
      <c r="D17">
        <v>56.3884322916413</v>
      </c>
      <c r="E17">
        <v>0.749686614411347</v>
      </c>
      <c r="F17">
        <v>0</v>
      </c>
      <c r="G17">
        <v>18.362688336203</v>
      </c>
      <c r="H17">
        <v>24.4991927577444</v>
      </c>
      <c r="I17">
        <v>0</v>
      </c>
      <c r="J17">
        <v>33.0675806451613</v>
      </c>
    </row>
    <row r="27" spans="3:4">
      <c r="C27" t="s">
        <v>104</v>
      </c>
      <c r="D27" t="s">
        <v>22</v>
      </c>
    </row>
    <row r="28" spans="4:4">
      <c r="D28" t="s">
        <v>62</v>
      </c>
    </row>
    <row r="30" spans="3:4">
      <c r="C30" t="s">
        <v>177</v>
      </c>
      <c r="D30">
        <v>0.284</v>
      </c>
    </row>
    <row r="31" spans="3:4">
      <c r="C31" t="s">
        <v>166</v>
      </c>
      <c r="D31">
        <v>0.132</v>
      </c>
    </row>
    <row r="32" spans="3:4">
      <c r="C32" t="s">
        <v>167</v>
      </c>
      <c r="D32">
        <v>0.211</v>
      </c>
    </row>
    <row r="33" spans="3:4">
      <c r="C33" t="s">
        <v>168</v>
      </c>
      <c r="D33">
        <v>0.2323</v>
      </c>
    </row>
    <row r="34" spans="3:4">
      <c r="C34" t="s">
        <v>169</v>
      </c>
      <c r="D34">
        <v>0.223</v>
      </c>
    </row>
    <row r="35" spans="3:4">
      <c r="C35" t="s">
        <v>170</v>
      </c>
      <c r="D35">
        <v>0.173</v>
      </c>
    </row>
    <row r="36" spans="3:4">
      <c r="C36" t="s">
        <v>171</v>
      </c>
      <c r="D36">
        <v>0.242</v>
      </c>
    </row>
    <row r="37" spans="3:4">
      <c r="C37" t="s">
        <v>172</v>
      </c>
      <c r="D37">
        <v>0.232</v>
      </c>
    </row>
    <row r="38" spans="3:4">
      <c r="C38" t="s">
        <v>173</v>
      </c>
      <c r="D38">
        <v>0.244</v>
      </c>
    </row>
    <row r="39" spans="3:4">
      <c r="C39" t="s">
        <v>174</v>
      </c>
      <c r="D39">
        <v>0.278</v>
      </c>
    </row>
    <row r="40" spans="3:4">
      <c r="C40" t="s">
        <v>175</v>
      </c>
      <c r="D40">
        <v>0.237</v>
      </c>
    </row>
    <row r="41" spans="3:4">
      <c r="C41" t="s">
        <v>176</v>
      </c>
      <c r="D41">
        <v>0.251</v>
      </c>
    </row>
    <row r="46" spans="3:8"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184</v>
      </c>
    </row>
    <row r="47" spans="2:6">
      <c r="B47" t="s">
        <v>154</v>
      </c>
      <c r="C47" t="s">
        <v>185</v>
      </c>
      <c r="D47" t="s">
        <v>185</v>
      </c>
      <c r="E47" t="s">
        <v>122</v>
      </c>
      <c r="F47" t="s">
        <v>122</v>
      </c>
    </row>
    <row r="48" spans="2:8">
      <c r="B48" t="s">
        <v>177</v>
      </c>
      <c r="C48">
        <v>426277</v>
      </c>
      <c r="D48">
        <v>656.143333333333</v>
      </c>
      <c r="E48" t="s">
        <v>583</v>
      </c>
      <c r="F48">
        <v>941</v>
      </c>
      <c r="G48">
        <v>69.0677192982456</v>
      </c>
      <c r="H48">
        <v>62.9172570551423</v>
      </c>
    </row>
    <row r="49" spans="2:8">
      <c r="B49" t="s">
        <v>166</v>
      </c>
      <c r="C49">
        <v>466770</v>
      </c>
      <c r="D49">
        <v>658.570794930875</v>
      </c>
      <c r="E49" t="s">
        <v>583</v>
      </c>
      <c r="F49">
        <v>941</v>
      </c>
      <c r="G49">
        <v>69.323241571671</v>
      </c>
      <c r="H49">
        <v>66.6715230879984</v>
      </c>
    </row>
    <row r="50" spans="2:8">
      <c r="B50" t="s">
        <v>167</v>
      </c>
      <c r="C50">
        <v>510709</v>
      </c>
      <c r="D50">
        <v>714.002741935483</v>
      </c>
      <c r="E50" t="s">
        <v>583</v>
      </c>
      <c r="F50">
        <v>941</v>
      </c>
      <c r="G50">
        <v>75.1581833616298</v>
      </c>
      <c r="H50">
        <v>75.379176998465</v>
      </c>
    </row>
    <row r="51" spans="2:8">
      <c r="B51" t="s">
        <v>168</v>
      </c>
      <c r="C51">
        <v>480369</v>
      </c>
      <c r="D51">
        <v>658.160483870967</v>
      </c>
      <c r="E51" t="s">
        <v>583</v>
      </c>
      <c r="F51">
        <v>941</v>
      </c>
      <c r="G51">
        <v>69.280050933786</v>
      </c>
      <c r="H51">
        <v>68.613948784752</v>
      </c>
    </row>
    <row r="52" spans="2:8">
      <c r="B52" t="s">
        <v>169</v>
      </c>
      <c r="C52">
        <v>320713</v>
      </c>
      <c r="D52">
        <v>447.77177419355</v>
      </c>
      <c r="E52" t="s">
        <v>583</v>
      </c>
      <c r="F52">
        <v>941</v>
      </c>
      <c r="G52">
        <v>47.1338709677421</v>
      </c>
      <c r="H52">
        <v>45.8093368985179</v>
      </c>
    </row>
    <row r="53" spans="2:8">
      <c r="B53" t="s">
        <v>170</v>
      </c>
      <c r="C53">
        <v>378138</v>
      </c>
      <c r="D53">
        <v>540.326785714287</v>
      </c>
      <c r="E53" t="s">
        <v>583</v>
      </c>
      <c r="F53">
        <v>941</v>
      </c>
      <c r="G53">
        <v>56.8765037593987</v>
      </c>
      <c r="H53">
        <v>59.7986564445119</v>
      </c>
    </row>
    <row r="54" spans="2:8">
      <c r="B54" t="s">
        <v>171</v>
      </c>
      <c r="C54">
        <v>427719</v>
      </c>
      <c r="D54">
        <v>551.540322580646</v>
      </c>
      <c r="E54" t="s">
        <v>583</v>
      </c>
      <c r="F54">
        <v>941</v>
      </c>
      <c r="G54">
        <v>58.0568760611206</v>
      </c>
      <c r="H54">
        <v>61.0936375167118</v>
      </c>
    </row>
    <row r="55" spans="2:8">
      <c r="B55" t="s">
        <v>172</v>
      </c>
      <c r="C55">
        <v>482632</v>
      </c>
      <c r="D55">
        <v>676.8975</v>
      </c>
      <c r="E55" t="s">
        <v>583</v>
      </c>
      <c r="F55">
        <v>941</v>
      </c>
      <c r="G55">
        <v>71.2523684210526</v>
      </c>
      <c r="H55">
        <v>71.2350926909907</v>
      </c>
    </row>
    <row r="56" spans="2:8">
      <c r="B56" t="s">
        <v>173</v>
      </c>
      <c r="C56">
        <v>511781</v>
      </c>
      <c r="D56">
        <v>721.732258064517</v>
      </c>
      <c r="E56" t="s">
        <v>583</v>
      </c>
      <c r="F56">
        <v>941</v>
      </c>
      <c r="G56">
        <v>75.9718166383702</v>
      </c>
      <c r="H56">
        <v>73.1007107515455</v>
      </c>
    </row>
    <row r="57" spans="2:8">
      <c r="B57" t="s">
        <v>174</v>
      </c>
      <c r="C57">
        <v>450519</v>
      </c>
      <c r="D57">
        <v>696.15</v>
      </c>
      <c r="E57" t="s">
        <v>583</v>
      </c>
      <c r="F57">
        <v>941</v>
      </c>
      <c r="G57">
        <v>73.2789473684211</v>
      </c>
      <c r="H57">
        <v>66.4953064116188</v>
      </c>
    </row>
    <row r="58" spans="2:8">
      <c r="B58" t="s">
        <v>175</v>
      </c>
      <c r="C58">
        <v>453840</v>
      </c>
      <c r="D58">
        <v>745.354032258067</v>
      </c>
      <c r="E58" t="s">
        <v>583</v>
      </c>
      <c r="F58">
        <v>941</v>
      </c>
      <c r="G58">
        <v>78.4583191850597</v>
      </c>
      <c r="H58">
        <v>64.8246546227418</v>
      </c>
    </row>
    <row r="59" spans="2:8">
      <c r="B59" t="s">
        <v>176</v>
      </c>
      <c r="C59">
        <v>503855</v>
      </c>
      <c r="D59">
        <v>718.291129032258</v>
      </c>
      <c r="E59" t="s">
        <v>583</v>
      </c>
      <c r="F59">
        <v>941</v>
      </c>
      <c r="G59">
        <v>75.6095925297114</v>
      </c>
      <c r="H59">
        <v>71.9685932375761</v>
      </c>
    </row>
  </sheetData>
  <pageMargins left="0.7" right="0.7" top="0.787401575" bottom="0.787401575" header="0.3" footer="0.3"/>
  <headerFooter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799981688894314"/>
  </sheetPr>
  <dimension ref="A1:T62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584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213" t="s">
        <v>585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2008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6" t="s">
        <v>368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586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281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573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9"/>
      <c r="G13" s="296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69"/>
      <c r="G14" s="64"/>
      <c r="H14" s="64"/>
      <c r="I14" s="57" t="s">
        <v>248</v>
      </c>
      <c r="J14" s="64"/>
      <c r="K14" s="119">
        <v>20627.0830962903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2262</v>
      </c>
      <c r="E15" s="69">
        <v>2260</v>
      </c>
      <c r="F15" s="69"/>
      <c r="G15" s="69"/>
      <c r="H15" s="98">
        <v>4522</v>
      </c>
      <c r="I15" s="57" t="s">
        <v>249</v>
      </c>
      <c r="J15" s="64"/>
      <c r="K15" s="121">
        <v>56.5125564281927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2036</v>
      </c>
      <c r="E16" s="69">
        <v>2036</v>
      </c>
      <c r="F16" s="69"/>
      <c r="G16" s="69"/>
      <c r="H16" s="98">
        <v>4072</v>
      </c>
      <c r="I16" s="56" t="s">
        <v>157</v>
      </c>
      <c r="J16" s="56"/>
      <c r="K16" s="122">
        <v>3.62853049316802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69"/>
      <c r="G17" s="70"/>
      <c r="H17" s="98"/>
      <c r="I17" s="56" t="s">
        <v>58</v>
      </c>
      <c r="J17" s="56"/>
      <c r="K17" s="124">
        <v>18.2675610623669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1000</v>
      </c>
      <c r="F18" s="69"/>
      <c r="G18" s="71"/>
      <c r="H18" s="98">
        <v>1000</v>
      </c>
      <c r="I18" s="56" t="s">
        <v>155</v>
      </c>
      <c r="J18" s="56"/>
      <c r="K18" s="124">
        <v>28.2105568336345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89"/>
      <c r="G19" s="70"/>
      <c r="H19" s="100"/>
      <c r="I19" s="56" t="s">
        <v>155</v>
      </c>
      <c r="J19" s="56"/>
      <c r="K19" s="124">
        <v>29.8006265418376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69"/>
      <c r="G20" s="74"/>
      <c r="H20" s="101"/>
      <c r="I20" s="56" t="s">
        <v>68</v>
      </c>
      <c r="J20" s="56"/>
      <c r="K20" s="124">
        <v>13.5885912075668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11.0206060606061</v>
      </c>
      <c r="E21" s="75">
        <v>8.63222222222222</v>
      </c>
      <c r="F21" s="69"/>
      <c r="G21" s="78"/>
      <c r="H21" s="102"/>
      <c r="I21" s="56" t="s">
        <v>158</v>
      </c>
      <c r="J21" s="56"/>
      <c r="K21" s="124">
        <v>2.74083316754406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75.0794444444444</v>
      </c>
      <c r="E22" s="75">
        <v>73.5383333333333</v>
      </c>
      <c r="F22" s="69"/>
      <c r="G22" s="78"/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69"/>
      <c r="G23" s="78"/>
      <c r="H23" s="75" t="s">
        <v>587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69"/>
      <c r="G24" s="78"/>
      <c r="H24" s="77" t="s">
        <v>588</v>
      </c>
      <c r="I24" s="127" t="s">
        <v>80</v>
      </c>
      <c r="J24" s="56"/>
      <c r="K24" s="122">
        <v>25.5026368731106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69"/>
      <c r="G25" s="78"/>
      <c r="H25" s="77" t="s">
        <v>269</v>
      </c>
      <c r="I25" s="128" t="s">
        <v>83</v>
      </c>
      <c r="J25" s="56"/>
      <c r="K25" s="122">
        <v>93.0511750877828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69"/>
      <c r="G26" s="78"/>
      <c r="H26" s="78" t="s">
        <v>589</v>
      </c>
      <c r="I26" s="57" t="s">
        <v>86</v>
      </c>
      <c r="J26" s="56"/>
      <c r="K26" s="122">
        <v>66.7838394005436</v>
      </c>
      <c r="L26" s="123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69"/>
      <c r="G27" s="78"/>
      <c r="H27" s="75" t="s">
        <v>338</v>
      </c>
      <c r="I27" s="129"/>
      <c r="J27" s="130"/>
      <c r="K27" s="131"/>
      <c r="L27" s="132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69"/>
      <c r="G28" s="78"/>
      <c r="H28" s="75" t="s">
        <v>482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7.97333333333333</v>
      </c>
      <c r="E29" s="75">
        <v>8.10916666666667</v>
      </c>
      <c r="F29" s="69"/>
      <c r="G29" s="78"/>
      <c r="H29" s="78"/>
      <c r="I29" s="66" t="s">
        <v>26</v>
      </c>
      <c r="J29" s="64"/>
      <c r="K29" s="13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f>AVERAGE(45,47.01,43.8,44.2)</f>
        <v>45.0025</v>
      </c>
      <c r="E30" s="77">
        <f>AVERAGE(45.2,48.99,39.6,40.3)</f>
        <v>43.5225</v>
      </c>
      <c r="F30" s="69"/>
      <c r="G30" s="78"/>
      <c r="H30" s="78"/>
      <c r="I30" s="66" t="s">
        <v>96</v>
      </c>
      <c r="J30" s="92"/>
      <c r="K30" s="135">
        <f>5598+2389</f>
        <v>7987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3.40029425</v>
      </c>
      <c r="E31" s="75">
        <v>4.41995941666667</v>
      </c>
      <c r="F31" s="69"/>
      <c r="G31" s="78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5.495</v>
      </c>
      <c r="E32" s="75">
        <v>5.97416666666667</v>
      </c>
      <c r="F32" s="69"/>
      <c r="G32" s="78"/>
      <c r="H32" s="78"/>
      <c r="I32" s="66" t="s">
        <v>66</v>
      </c>
      <c r="J32" s="92"/>
      <c r="K32" s="135">
        <v>1200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472</v>
      </c>
      <c r="E33" s="77">
        <v>241</v>
      </c>
      <c r="F33" s="69"/>
      <c r="G33" s="78"/>
      <c r="H33" s="78"/>
      <c r="I33" s="57" t="s">
        <v>103</v>
      </c>
      <c r="J33" s="64"/>
      <c r="K33" s="136">
        <v>3.1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0.256363636363636</v>
      </c>
      <c r="E34" s="80">
        <v>0.205333333333333</v>
      </c>
      <c r="F34" s="69"/>
      <c r="G34" s="78"/>
      <c r="H34" s="78"/>
      <c r="I34" s="66" t="s">
        <v>105</v>
      </c>
      <c r="J34" s="64"/>
      <c r="K34" s="756">
        <v>8.68307050708664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69"/>
      <c r="G35" s="78"/>
      <c r="H35" s="78"/>
      <c r="I35" s="66" t="s">
        <v>106</v>
      </c>
      <c r="J35" s="64"/>
      <c r="K35" s="756">
        <v>68.82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34"/>
      <c r="L38" s="120"/>
    </row>
    <row r="39" ht="15" customHeight="1" spans="1:12">
      <c r="A39" s="157"/>
      <c r="B39" s="85" t="s">
        <v>111</v>
      </c>
      <c r="C39" s="64" t="s">
        <v>59</v>
      </c>
      <c r="D39" s="78">
        <v>63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53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/>
      <c r="H41" s="67"/>
      <c r="I41" s="66"/>
      <c r="J41" s="64" t="s">
        <v>113</v>
      </c>
      <c r="K41" s="143" t="s">
        <v>116</v>
      </c>
      <c r="L41" s="887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/>
      <c r="H42" s="102"/>
      <c r="I42" s="66"/>
      <c r="J42" s="64" t="s">
        <v>113</v>
      </c>
      <c r="K42" s="143" t="s">
        <v>120</v>
      </c>
      <c r="L42" s="888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800</v>
      </c>
      <c r="E43" s="77">
        <v>360</v>
      </c>
      <c r="F43" s="77">
        <v>190</v>
      </c>
      <c r="G43" s="78"/>
      <c r="H43" s="102"/>
      <c r="I43" s="66"/>
      <c r="J43" s="64" t="s">
        <v>123</v>
      </c>
      <c r="K43" s="144" t="s">
        <v>124</v>
      </c>
      <c r="L43" s="889" t="s">
        <v>117</v>
      </c>
    </row>
    <row r="44" ht="15" customHeight="1" spans="1:17">
      <c r="A44" s="157"/>
      <c r="B44" s="66" t="s">
        <v>125</v>
      </c>
      <c r="C44" s="64" t="s">
        <v>122</v>
      </c>
      <c r="D44" s="77">
        <v>753</v>
      </c>
      <c r="E44" s="77">
        <v>339</v>
      </c>
      <c r="F44" s="77">
        <f>F43*F46/F45</f>
        <v>178.823529411765</v>
      </c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42.5</v>
      </c>
      <c r="E45" s="78">
        <v>42.5</v>
      </c>
      <c r="F45" s="78">
        <v>42.5</v>
      </c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40</v>
      </c>
      <c r="E46" s="78">
        <v>40</v>
      </c>
      <c r="F46" s="78">
        <v>40</v>
      </c>
      <c r="G46" s="78"/>
      <c r="H46" s="102"/>
      <c r="I46" s="66"/>
      <c r="J46" s="64" t="s">
        <v>131</v>
      </c>
      <c r="K46" s="79">
        <f>L46/L40*100</f>
        <v>251.945475361959</v>
      </c>
      <c r="L46" s="147">
        <f>K49/0.4/9.971*1.02/K15</f>
        <v>133.531101941838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579</v>
      </c>
      <c r="E47" s="70" t="s">
        <v>579</v>
      </c>
      <c r="F47" s="70" t="s">
        <v>579</v>
      </c>
      <c r="G47" s="78"/>
      <c r="H47" s="102"/>
      <c r="I47" s="66"/>
      <c r="J47" s="64" t="s">
        <v>134</v>
      </c>
      <c r="K47" s="150">
        <f>K46/K24*100/K25*100</f>
        <v>1061.69461429363</v>
      </c>
      <c r="L47" s="147">
        <f>K47*L40/100</f>
        <v>562.698145575626</v>
      </c>
    </row>
    <row r="48" ht="15" customHeight="1" spans="1:13">
      <c r="A48" s="157"/>
      <c r="B48" s="66" t="s">
        <v>135</v>
      </c>
      <c r="C48" s="64" t="s">
        <v>240</v>
      </c>
      <c r="D48" s="69"/>
      <c r="E48" s="69"/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580</v>
      </c>
      <c r="C49" s="64" t="s">
        <v>240</v>
      </c>
      <c r="D49" s="69">
        <f>24*D50</f>
        <v>2950.70588235294</v>
      </c>
      <c r="E49" s="69"/>
      <c r="F49" s="69"/>
      <c r="G49" s="69"/>
      <c r="H49" s="98"/>
      <c r="I49" s="66"/>
      <c r="J49" s="64" t="s">
        <v>139</v>
      </c>
      <c r="K49" s="150">
        <f>(764.88+489.17)*24/1.02</f>
        <v>29507.0588235294</v>
      </c>
      <c r="L49" s="231"/>
    </row>
    <row r="50" ht="15" customHeight="1" spans="1:20">
      <c r="A50" s="157"/>
      <c r="B50" s="57" t="s">
        <v>581</v>
      </c>
      <c r="C50" s="64" t="s">
        <v>59</v>
      </c>
      <c r="D50" s="77">
        <f>K49/24/1000*100</f>
        <v>122.946078431373</v>
      </c>
      <c r="E50" s="77"/>
      <c r="F50" s="77"/>
      <c r="G50" s="78"/>
      <c r="H50" s="102"/>
      <c r="I50" s="66"/>
      <c r="J50" s="64" t="s">
        <v>141</v>
      </c>
      <c r="K50" s="150">
        <f>K49/K15</f>
        <v>522.132791161596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755" t="s">
        <v>590</v>
      </c>
      <c r="C52" s="56"/>
      <c r="D52" s="78"/>
      <c r="E52" s="107"/>
      <c r="F52" s="78"/>
      <c r="G52" s="78"/>
      <c r="H52" s="102"/>
      <c r="I52" s="64"/>
      <c r="J52" s="64"/>
      <c r="K52" s="143"/>
      <c r="L52" s="120"/>
      <c r="N52" s="179"/>
    </row>
    <row r="53" ht="15" customHeight="1" spans="1:14">
      <c r="A53" s="157"/>
      <c r="B53" s="88" t="s">
        <v>142</v>
      </c>
      <c r="C53" s="89"/>
      <c r="D53" s="89"/>
      <c r="E53" s="108"/>
      <c r="F53" s="99"/>
      <c r="G53" s="99"/>
      <c r="H53" s="109"/>
      <c r="I53" s="78"/>
      <c r="J53" s="78"/>
      <c r="K53" s="78"/>
      <c r="L53" s="114"/>
      <c r="N53" s="179"/>
    </row>
    <row r="54" ht="15" customHeight="1" spans="1:14">
      <c r="A54" s="157"/>
      <c r="B54" s="90"/>
      <c r="C54" s="78"/>
      <c r="D54" s="64"/>
      <c r="E54" s="64"/>
      <c r="F54" s="64"/>
      <c r="G54" s="110" t="s">
        <v>144</v>
      </c>
      <c r="H54" s="64"/>
      <c r="I54" s="83"/>
      <c r="J54" s="140"/>
      <c r="K54" s="140"/>
      <c r="L54" s="152"/>
      <c r="N54" s="156" t="s">
        <v>77</v>
      </c>
    </row>
    <row r="55" ht="15" customHeight="1" spans="1:18">
      <c r="A55" s="157"/>
      <c r="B55" s="66"/>
      <c r="C55" s="78"/>
      <c r="D55" s="92"/>
      <c r="E55" s="92"/>
      <c r="F55" s="64"/>
      <c r="G55" s="64"/>
      <c r="H55" s="64"/>
      <c r="I55" s="78" t="s">
        <v>145</v>
      </c>
      <c r="J55" s="64"/>
      <c r="K55" s="64"/>
      <c r="L55" s="114"/>
      <c r="R55" s="183"/>
    </row>
    <row r="56" ht="15" customHeight="1" spans="1:12">
      <c r="A56" s="157"/>
      <c r="B56" s="66"/>
      <c r="C56" s="69"/>
      <c r="D56" s="69"/>
      <c r="E56" s="111"/>
      <c r="F56" s="64"/>
      <c r="G56" s="64" t="s">
        <v>148</v>
      </c>
      <c r="H56" s="64"/>
      <c r="I56" s="69">
        <v>605280</v>
      </c>
      <c r="J56" s="69">
        <f>I56/(1378*365*24*42.5/40)*100</f>
        <v>4.71926170313046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257</v>
      </c>
      <c r="H57" s="64"/>
      <c r="I57" s="69">
        <v>2805000</v>
      </c>
      <c r="J57" s="69">
        <v>24</v>
      </c>
      <c r="K57" s="111" t="s">
        <v>149</v>
      </c>
      <c r="L57" s="114"/>
    </row>
    <row r="58" ht="15" customHeight="1" spans="1:12">
      <c r="A58" s="157"/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B61" s="156" t="s">
        <v>77</v>
      </c>
      <c r="G61"/>
      <c r="H61"/>
    </row>
    <row r="62" ht="16.8" spans="7:8">
      <c r="G62"/>
      <c r="H62"/>
    </row>
  </sheetData>
  <mergeCells count="3">
    <mergeCell ref="B2:L2"/>
    <mergeCell ref="D49:F49"/>
    <mergeCell ref="D50:F50"/>
  </mergeCells>
  <pageMargins left="0.7" right="0.7" top="0.787401575" bottom="0.7874015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799981688894314"/>
  </sheetPr>
  <dimension ref="C2:K69"/>
  <sheetViews>
    <sheetView zoomScale="85" zoomScaleNormal="85" workbookViewId="0">
      <selection activeCell="A1" sqref="A1"/>
    </sheetView>
  </sheetViews>
  <sheetFormatPr defaultColWidth="11.5" defaultRowHeight="16.8"/>
  <sheetData>
    <row r="2" spans="3:11">
      <c r="C2" t="s">
        <v>154</v>
      </c>
      <c r="D2" t="s">
        <v>155</v>
      </c>
      <c r="E2" t="s">
        <v>155</v>
      </c>
      <c r="F2" t="s">
        <v>58</v>
      </c>
      <c r="G2" t="s">
        <v>574</v>
      </c>
      <c r="H2" t="s">
        <v>575</v>
      </c>
      <c r="I2" t="s">
        <v>157</v>
      </c>
      <c r="J2" t="s">
        <v>250</v>
      </c>
      <c r="K2" t="s">
        <v>538</v>
      </c>
    </row>
    <row r="3" spans="4:10"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</row>
    <row r="4" spans="3:11">
      <c r="C4" t="s">
        <v>177</v>
      </c>
      <c r="D4">
        <v>1.78382161276745</v>
      </c>
      <c r="E4">
        <v>33.4704268493679</v>
      </c>
      <c r="F4">
        <v>31.1987484088869</v>
      </c>
      <c r="G4">
        <v>0</v>
      </c>
      <c r="H4">
        <v>0</v>
      </c>
      <c r="I4">
        <v>24.1172174918479</v>
      </c>
      <c r="J4">
        <v>9.42978563712986</v>
      </c>
      <c r="K4">
        <v>65.7296666666667</v>
      </c>
    </row>
    <row r="5" spans="3:11">
      <c r="C5" t="s">
        <v>166</v>
      </c>
      <c r="D5">
        <v>0.0712879171015678</v>
      </c>
      <c r="E5">
        <v>33.895386999236</v>
      </c>
      <c r="F5">
        <v>34.6314011169337</v>
      </c>
      <c r="G5">
        <v>0</v>
      </c>
      <c r="H5">
        <v>0</v>
      </c>
      <c r="I5">
        <v>24.4617089731312</v>
      </c>
      <c r="J5">
        <v>6.94021499359754</v>
      </c>
      <c r="K5">
        <v>59.9567741935484</v>
      </c>
    </row>
    <row r="6" spans="3:11">
      <c r="C6" t="s">
        <v>167</v>
      </c>
      <c r="D6">
        <v>1.79698868351112</v>
      </c>
      <c r="E6">
        <v>24.9540004569889</v>
      </c>
      <c r="F6">
        <v>34.0916743833656</v>
      </c>
      <c r="G6">
        <v>1.77173403244621</v>
      </c>
      <c r="H6">
        <v>2.4800668646952</v>
      </c>
      <c r="I6">
        <v>31.4835303596984</v>
      </c>
      <c r="J6">
        <v>3.42200521929455</v>
      </c>
      <c r="K6">
        <v>55.4353333333333</v>
      </c>
    </row>
    <row r="7" spans="3:11">
      <c r="C7" t="s">
        <v>168</v>
      </c>
      <c r="D7">
        <v>3.10385089702959</v>
      </c>
      <c r="E7">
        <v>31.9928248570577</v>
      </c>
      <c r="F7">
        <v>23.7963725058585</v>
      </c>
      <c r="G7">
        <v>1.68304134183923</v>
      </c>
      <c r="H7">
        <v>9.80785164079441</v>
      </c>
      <c r="I7">
        <v>16.99776050226</v>
      </c>
      <c r="J7">
        <v>12.6182982551605</v>
      </c>
      <c r="K7">
        <v>58.985</v>
      </c>
    </row>
    <row r="8" spans="3:11">
      <c r="C8" t="s">
        <v>169</v>
      </c>
      <c r="D8">
        <v>4.33907350510093</v>
      </c>
      <c r="E8">
        <v>29.4323957354817</v>
      </c>
      <c r="F8">
        <v>25.0124087800836</v>
      </c>
      <c r="G8">
        <v>2.50124087800836</v>
      </c>
      <c r="H8">
        <v>14.1103725095271</v>
      </c>
      <c r="I8">
        <v>13.918087694182</v>
      </c>
      <c r="J8">
        <v>10.6864208976163</v>
      </c>
      <c r="K8">
        <v>62.9107096774194</v>
      </c>
    </row>
    <row r="9" spans="3:11">
      <c r="C9" t="s">
        <v>170</v>
      </c>
      <c r="D9">
        <v>6.63178213141446</v>
      </c>
      <c r="E9">
        <v>28.2315247649561</v>
      </c>
      <c r="F9">
        <v>29.9877882241714</v>
      </c>
      <c r="G9">
        <v>2.98761752192867</v>
      </c>
      <c r="H9">
        <v>4.52951835705657</v>
      </c>
      <c r="I9">
        <v>14.508705814381</v>
      </c>
      <c r="J9">
        <v>13.1230631860917</v>
      </c>
      <c r="K9">
        <v>54.3971428571429</v>
      </c>
    </row>
    <row r="10" spans="3:11">
      <c r="C10" t="s">
        <v>171</v>
      </c>
      <c r="D10">
        <v>6.27523791574192</v>
      </c>
      <c r="E10">
        <v>28.3963279986087</v>
      </c>
      <c r="F10">
        <v>30.0022981043078</v>
      </c>
      <c r="G10">
        <v>4.60967057844081</v>
      </c>
      <c r="H10">
        <v>0.00460967057844081</v>
      </c>
      <c r="I10">
        <v>16.5494500719793</v>
      </c>
      <c r="J10">
        <v>14.1624056603431</v>
      </c>
      <c r="K10">
        <v>46.0077659677419</v>
      </c>
    </row>
    <row r="11" spans="3:11">
      <c r="C11" t="s">
        <v>172</v>
      </c>
      <c r="D11">
        <v>6.39834060479902</v>
      </c>
      <c r="E11">
        <v>33.2337733407714</v>
      </c>
      <c r="F11">
        <v>23.1686397440406</v>
      </c>
      <c r="G11">
        <v>3.26865910120294</v>
      </c>
      <c r="H11">
        <v>0.00326865910120294</v>
      </c>
      <c r="I11">
        <v>19.0590654689121</v>
      </c>
      <c r="J11">
        <v>14.8682530811728</v>
      </c>
      <c r="K11">
        <v>49.6482895</v>
      </c>
    </row>
    <row r="12" spans="3:11">
      <c r="C12" t="s">
        <v>173</v>
      </c>
      <c r="D12">
        <v>7.3631175258656</v>
      </c>
      <c r="E12">
        <v>29.7449622320778</v>
      </c>
      <c r="F12">
        <v>22.4723189663348</v>
      </c>
      <c r="G12">
        <v>1.46493938992983</v>
      </c>
      <c r="H12">
        <v>0.00146493938992983</v>
      </c>
      <c r="I12">
        <v>21.1096278840777</v>
      </c>
      <c r="J12">
        <v>17.8435690623243</v>
      </c>
      <c r="K12">
        <v>52.05544</v>
      </c>
    </row>
    <row r="13" spans="3:11">
      <c r="C13" t="s">
        <v>174</v>
      </c>
      <c r="D13">
        <v>3.5593410269047</v>
      </c>
      <c r="E13">
        <v>30.6993908701377</v>
      </c>
      <c r="F13">
        <v>24.3994585903115</v>
      </c>
      <c r="G13">
        <v>0.161842419829949</v>
      </c>
      <c r="H13">
        <v>0.000161842419829949</v>
      </c>
      <c r="I13">
        <v>17.6548322213761</v>
      </c>
      <c r="J13">
        <v>23.5249730290203</v>
      </c>
      <c r="K13">
        <v>55.9185905</v>
      </c>
    </row>
    <row r="14" spans="3:11">
      <c r="C14" t="s">
        <v>175</v>
      </c>
      <c r="D14">
        <v>4.71045460763181</v>
      </c>
      <c r="E14">
        <v>29.5700657447763</v>
      </c>
      <c r="F14">
        <v>29.5857037603144</v>
      </c>
      <c r="G14">
        <v>0.861512492371847</v>
      </c>
      <c r="H14">
        <v>0.000861512492371847</v>
      </c>
      <c r="I14">
        <v>9.41522266415886</v>
      </c>
      <c r="J14">
        <v>25.8561792182545</v>
      </c>
      <c r="K14">
        <v>56.7269403225806</v>
      </c>
    </row>
    <row r="15" spans="3:11">
      <c r="C15" t="s">
        <v>176</v>
      </c>
      <c r="D15">
        <v>4.33156250518595</v>
      </c>
      <c r="E15">
        <v>22.7144492938814</v>
      </c>
      <c r="F15">
        <v>28.4329934117725</v>
      </c>
      <c r="G15">
        <v>22.7144492938814</v>
      </c>
      <c r="H15">
        <v>0.0227144492938814</v>
      </c>
      <c r="I15">
        <v>9.78691979621301</v>
      </c>
      <c r="J15">
        <v>11.9969112497718</v>
      </c>
      <c r="K15">
        <v>62.2028387096774</v>
      </c>
    </row>
    <row r="22" spans="3:4">
      <c r="C22" t="s">
        <v>104</v>
      </c>
      <c r="D22" t="s">
        <v>22</v>
      </c>
    </row>
    <row r="23" spans="4:4">
      <c r="D23" t="s">
        <v>62</v>
      </c>
    </row>
    <row r="25" spans="3:4">
      <c r="C25" t="s">
        <v>177</v>
      </c>
      <c r="D25">
        <v>0.284</v>
      </c>
    </row>
    <row r="26" spans="3:4">
      <c r="C26" t="s">
        <v>166</v>
      </c>
      <c r="D26">
        <v>0.215</v>
      </c>
    </row>
    <row r="27" spans="3:4">
      <c r="C27" t="s">
        <v>167</v>
      </c>
      <c r="D27">
        <v>0.26</v>
      </c>
    </row>
    <row r="28" spans="3:4">
      <c r="C28" t="s">
        <v>168</v>
      </c>
      <c r="D28">
        <v>0.239</v>
      </c>
    </row>
    <row r="29" spans="3:4">
      <c r="C29" t="s">
        <v>169</v>
      </c>
      <c r="D29">
        <v>0.223</v>
      </c>
    </row>
    <row r="30" spans="3:4">
      <c r="C30" t="s">
        <v>170</v>
      </c>
      <c r="D30">
        <v>0.228</v>
      </c>
    </row>
    <row r="31" spans="3:4">
      <c r="C31" t="s">
        <v>171</v>
      </c>
      <c r="D31">
        <v>0.264</v>
      </c>
    </row>
    <row r="32" spans="3:4">
      <c r="C32" t="s">
        <v>172</v>
      </c>
      <c r="D32">
        <v>0.256</v>
      </c>
    </row>
    <row r="33" spans="3:4">
      <c r="C33" t="s">
        <v>173</v>
      </c>
      <c r="D33">
        <v>0.281</v>
      </c>
    </row>
    <row r="34" spans="3:4">
      <c r="C34" t="s">
        <v>174</v>
      </c>
      <c r="D34">
        <v>0.317</v>
      </c>
    </row>
    <row r="35" spans="3:4">
      <c r="C35" t="s">
        <v>175</v>
      </c>
      <c r="D35">
        <v>0.253</v>
      </c>
    </row>
    <row r="36" spans="3:4">
      <c r="C36" t="s">
        <v>176</v>
      </c>
      <c r="D36">
        <v>0.241</v>
      </c>
    </row>
    <row r="42" spans="4:9"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184</v>
      </c>
    </row>
    <row r="43" spans="3:7">
      <c r="C43" t="s">
        <v>154</v>
      </c>
      <c r="D43" t="s">
        <v>185</v>
      </c>
      <c r="E43" t="s">
        <v>185</v>
      </c>
      <c r="F43" t="s">
        <v>122</v>
      </c>
      <c r="G43" t="s">
        <v>122</v>
      </c>
    </row>
    <row r="44" spans="3:9">
      <c r="C44" t="s">
        <v>177</v>
      </c>
      <c r="D44">
        <v>307.611111111111</v>
      </c>
      <c r="E44">
        <f>F58+H58</f>
        <v>1328.68259166667</v>
      </c>
      <c r="F44" t="s">
        <v>591</v>
      </c>
      <c r="G44">
        <f>F44*42.5/40</f>
        <v>1464.125</v>
      </c>
      <c r="H44">
        <f>E44/F44*100</f>
        <v>96.4210879293662</v>
      </c>
      <c r="I44">
        <f>D44/G44*100</f>
        <v>21.0098940398607</v>
      </c>
    </row>
    <row r="45" spans="3:9">
      <c r="C45" t="s">
        <v>166</v>
      </c>
      <c r="D45">
        <v>339.086021505376</v>
      </c>
      <c r="E45">
        <f t="shared" ref="E45:E55" si="0">F59+H59</f>
        <v>1256.26617741935</v>
      </c>
      <c r="F45" t="s">
        <v>591</v>
      </c>
      <c r="G45">
        <f t="shared" ref="G45:G55" si="1">F45*42.5/40</f>
        <v>1464.125</v>
      </c>
      <c r="H45">
        <f t="shared" ref="H45:H55" si="2">E45/F45*100</f>
        <v>91.1659054731026</v>
      </c>
      <c r="I45">
        <f t="shared" ref="I45:I55" si="3">D45/G45*100</f>
        <v>23.1596360628619</v>
      </c>
    </row>
    <row r="46" spans="3:9">
      <c r="C46" t="s">
        <v>167</v>
      </c>
      <c r="D46">
        <v>316.902777777778</v>
      </c>
      <c r="E46">
        <f t="shared" si="0"/>
        <v>1329.644575</v>
      </c>
      <c r="F46" t="s">
        <v>591</v>
      </c>
      <c r="G46">
        <f t="shared" si="1"/>
        <v>1464.125</v>
      </c>
      <c r="H46">
        <f t="shared" si="2"/>
        <v>96.4908980406386</v>
      </c>
      <c r="I46">
        <f t="shared" si="3"/>
        <v>21.6445165390781</v>
      </c>
    </row>
    <row r="47" spans="3:9">
      <c r="C47" t="s">
        <v>168</v>
      </c>
      <c r="D47">
        <v>317.379032258065</v>
      </c>
      <c r="E47">
        <f t="shared" si="0"/>
        <v>1347.10993458781</v>
      </c>
      <c r="F47" t="s">
        <v>591</v>
      </c>
      <c r="G47">
        <f t="shared" si="1"/>
        <v>1464.125</v>
      </c>
      <c r="H47">
        <f t="shared" si="2"/>
        <v>97.7583406812637</v>
      </c>
      <c r="I47">
        <f t="shared" si="3"/>
        <v>21.6770448054684</v>
      </c>
    </row>
    <row r="48" spans="3:9">
      <c r="C48" t="s">
        <v>169</v>
      </c>
      <c r="D48">
        <v>505.456989247312</v>
      </c>
      <c r="E48">
        <f t="shared" si="0"/>
        <v>1436.67400985663</v>
      </c>
      <c r="F48" t="s">
        <v>591</v>
      </c>
      <c r="G48">
        <f t="shared" si="1"/>
        <v>1464.125</v>
      </c>
      <c r="H48">
        <f t="shared" si="2"/>
        <v>104.257910729799</v>
      </c>
      <c r="I48">
        <f t="shared" si="3"/>
        <v>34.5228029879492</v>
      </c>
    </row>
    <row r="49" spans="3:9">
      <c r="C49" t="s">
        <v>170</v>
      </c>
      <c r="D49">
        <v>318.348214285714</v>
      </c>
      <c r="E49">
        <f t="shared" si="0"/>
        <v>1310.80530853175</v>
      </c>
      <c r="F49" t="s">
        <v>591</v>
      </c>
      <c r="G49">
        <f t="shared" si="1"/>
        <v>1464.125</v>
      </c>
      <c r="H49">
        <f t="shared" si="2"/>
        <v>95.1237524333634</v>
      </c>
      <c r="I49">
        <f t="shared" si="3"/>
        <v>21.7432401117196</v>
      </c>
    </row>
    <row r="50" spans="3:9">
      <c r="C50" t="s">
        <v>171</v>
      </c>
      <c r="D50">
        <v>265.887096774194</v>
      </c>
      <c r="E50">
        <f t="shared" si="0"/>
        <v>1123.70703405018</v>
      </c>
      <c r="F50" t="s">
        <v>591</v>
      </c>
      <c r="G50">
        <f t="shared" si="1"/>
        <v>1464.125</v>
      </c>
      <c r="H50">
        <f t="shared" si="2"/>
        <v>81.5462288860799</v>
      </c>
      <c r="I50">
        <f t="shared" si="3"/>
        <v>18.1601363800354</v>
      </c>
    </row>
    <row r="51" spans="3:9">
      <c r="C51" t="s">
        <v>172</v>
      </c>
      <c r="D51">
        <v>172.458333333333</v>
      </c>
      <c r="E51">
        <f t="shared" si="0"/>
        <v>1088.69905555556</v>
      </c>
      <c r="F51" t="s">
        <v>591</v>
      </c>
      <c r="G51">
        <f t="shared" si="1"/>
        <v>1464.125</v>
      </c>
      <c r="H51">
        <f t="shared" si="2"/>
        <v>79.0057369779068</v>
      </c>
      <c r="I51">
        <f t="shared" si="3"/>
        <v>11.7789350863713</v>
      </c>
    </row>
    <row r="52" spans="3:9">
      <c r="C52" t="s">
        <v>173</v>
      </c>
      <c r="D52">
        <v>186.922043010753</v>
      </c>
      <c r="E52">
        <f t="shared" si="0"/>
        <v>1075.06717114695</v>
      </c>
      <c r="F52" t="s">
        <v>591</v>
      </c>
      <c r="G52">
        <f t="shared" si="1"/>
        <v>1464.125</v>
      </c>
      <c r="H52">
        <f t="shared" si="2"/>
        <v>78.016485569445</v>
      </c>
      <c r="I52">
        <f t="shared" si="3"/>
        <v>12.7668090505082</v>
      </c>
    </row>
    <row r="53" spans="3:9">
      <c r="C53" t="s">
        <v>174</v>
      </c>
      <c r="D53">
        <v>279.569444444444</v>
      </c>
      <c r="E53">
        <f t="shared" si="0"/>
        <v>1152.42561944444</v>
      </c>
      <c r="F53" t="s">
        <v>591</v>
      </c>
      <c r="G53">
        <f t="shared" si="1"/>
        <v>1464.125</v>
      </c>
      <c r="H53">
        <f t="shared" si="2"/>
        <v>83.6303062006128</v>
      </c>
      <c r="I53">
        <f t="shared" si="3"/>
        <v>19.0946431789939</v>
      </c>
    </row>
    <row r="54" spans="3:9">
      <c r="C54" t="s">
        <v>175</v>
      </c>
      <c r="D54">
        <v>813.615591397849</v>
      </c>
      <c r="E54">
        <f t="shared" si="0"/>
        <v>1215.38809677419</v>
      </c>
      <c r="F54" t="s">
        <v>591</v>
      </c>
      <c r="G54">
        <f t="shared" si="1"/>
        <v>1464.125</v>
      </c>
      <c r="H54">
        <f t="shared" si="2"/>
        <v>88.1994264712766</v>
      </c>
      <c r="I54">
        <f t="shared" si="3"/>
        <v>55.5700907639614</v>
      </c>
    </row>
    <row r="55" spans="3:9">
      <c r="C55" t="s">
        <v>176</v>
      </c>
      <c r="D55">
        <v>422.180555555556</v>
      </c>
      <c r="E55">
        <f t="shared" si="0"/>
        <v>1275.59208154122</v>
      </c>
      <c r="F55" t="s">
        <v>591</v>
      </c>
      <c r="G55">
        <f t="shared" si="1"/>
        <v>1464.125</v>
      </c>
      <c r="H55">
        <f t="shared" si="2"/>
        <v>92.5683658593047</v>
      </c>
      <c r="I55">
        <f t="shared" si="3"/>
        <v>28.8350076363395</v>
      </c>
    </row>
    <row r="56" spans="8:9">
      <c r="H56">
        <f>AVERAGE(H44:H55)</f>
        <v>90.3487037710133</v>
      </c>
      <c r="I56">
        <f>AVERAGE(I44:I55)</f>
        <v>24.1635630535956</v>
      </c>
    </row>
    <row r="58" spans="5:8">
      <c r="E58">
        <v>399621</v>
      </c>
      <c r="F58">
        <f>E58/30/24</f>
        <v>555.029166666667</v>
      </c>
      <c r="H58">
        <v>773.653425</v>
      </c>
    </row>
    <row r="59" spans="5:8">
      <c r="E59">
        <v>357984</v>
      </c>
      <c r="F59">
        <f t="shared" ref="F59:F69" si="4">E59/30/24</f>
        <v>497.2</v>
      </c>
      <c r="H59">
        <v>759.066177419354</v>
      </c>
    </row>
    <row r="60" spans="5:8">
      <c r="E60">
        <v>347109</v>
      </c>
      <c r="F60">
        <f t="shared" si="4"/>
        <v>482.095833333333</v>
      </c>
      <c r="H60">
        <v>847.548741666667</v>
      </c>
    </row>
    <row r="61" spans="5:8">
      <c r="E61">
        <v>388819</v>
      </c>
      <c r="F61">
        <f t="shared" si="4"/>
        <v>540.026388888889</v>
      </c>
      <c r="H61">
        <v>807.083545698925</v>
      </c>
    </row>
    <row r="62" spans="5:8">
      <c r="E62">
        <v>391942</v>
      </c>
      <c r="F62">
        <f t="shared" si="4"/>
        <v>544.363888888889</v>
      </c>
      <c r="H62">
        <v>892.310120967742</v>
      </c>
    </row>
    <row r="63" spans="5:8">
      <c r="E63">
        <v>334909</v>
      </c>
      <c r="F63">
        <f t="shared" si="4"/>
        <v>465.151388888889</v>
      </c>
      <c r="H63">
        <v>845.653919642858</v>
      </c>
    </row>
    <row r="64" spans="5:8">
      <c r="E64">
        <v>278623</v>
      </c>
      <c r="F64">
        <f t="shared" si="4"/>
        <v>386.976388888889</v>
      </c>
      <c r="H64">
        <v>736.730645161292</v>
      </c>
    </row>
    <row r="65" spans="5:8">
      <c r="E65">
        <v>264106</v>
      </c>
      <c r="F65">
        <f t="shared" si="4"/>
        <v>366.813888888889</v>
      </c>
      <c r="H65">
        <v>721.885166666667</v>
      </c>
    </row>
    <row r="66" spans="5:8">
      <c r="E66">
        <v>257617</v>
      </c>
      <c r="F66">
        <f t="shared" si="4"/>
        <v>357.801388888889</v>
      </c>
      <c r="H66">
        <v>717.265782258063</v>
      </c>
    </row>
    <row r="67" spans="5:8">
      <c r="E67">
        <v>308570</v>
      </c>
      <c r="F67">
        <f t="shared" si="4"/>
        <v>428.569444444444</v>
      </c>
      <c r="H67">
        <v>723.856175</v>
      </c>
    </row>
    <row r="68" spans="5:8">
      <c r="E68">
        <v>292167</v>
      </c>
      <c r="F68">
        <f t="shared" si="4"/>
        <v>405.7875</v>
      </c>
      <c r="H68">
        <v>809.600596774192</v>
      </c>
    </row>
    <row r="69" spans="5:8">
      <c r="E69">
        <v>400001</v>
      </c>
      <c r="F69">
        <f t="shared" si="4"/>
        <v>555.556944444444</v>
      </c>
      <c r="H69">
        <v>720.035137096775</v>
      </c>
    </row>
  </sheetData>
  <pageMargins left="0.7" right="0.7" top="0.787401575" bottom="0.787401575" header="0.3" footer="0.3"/>
  <headerFooter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-0.249977111117893"/>
  </sheetPr>
  <dimension ref="A1:T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592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 t="s">
        <v>77</v>
      </c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213" t="s">
        <v>593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186">
        <v>39356</v>
      </c>
      <c r="D5" s="186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6" t="s">
        <v>368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369</v>
      </c>
      <c r="D7" s="56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280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545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296"/>
      <c r="G13" s="296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296"/>
      <c r="G14" s="64"/>
      <c r="H14" s="64"/>
      <c r="I14" s="57" t="s">
        <v>248</v>
      </c>
      <c r="J14" s="64"/>
      <c r="K14" s="119">
        <v>7750.5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1200</v>
      </c>
      <c r="E15" s="69">
        <v>1200</v>
      </c>
      <c r="F15" s="296"/>
      <c r="G15" s="69"/>
      <c r="H15" s="98">
        <v>2400</v>
      </c>
      <c r="I15" s="57" t="s">
        <v>249</v>
      </c>
      <c r="J15" s="64"/>
      <c r="K15" s="121">
        <v>21.2342465753425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1106</v>
      </c>
      <c r="E16" s="69">
        <v>1106</v>
      </c>
      <c r="F16" s="296"/>
      <c r="G16" s="69"/>
      <c r="H16" s="98">
        <v>2212</v>
      </c>
      <c r="I16" s="56" t="s">
        <v>157</v>
      </c>
      <c r="J16" s="56"/>
      <c r="K16" s="122">
        <v>22.2695309980001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296"/>
      <c r="G17" s="70"/>
      <c r="H17" s="98"/>
      <c r="I17" s="56" t="s">
        <v>58</v>
      </c>
      <c r="J17" s="56"/>
      <c r="K17" s="124">
        <v>9.41874717760145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 t="s">
        <v>288</v>
      </c>
      <c r="E18" s="71" t="s">
        <v>594</v>
      </c>
      <c r="F18" s="296"/>
      <c r="G18" s="71"/>
      <c r="H18" s="98">
        <v>350</v>
      </c>
      <c r="I18" s="56" t="s">
        <v>155</v>
      </c>
      <c r="J18" s="56"/>
      <c r="K18" s="124">
        <v>37.7136958905877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54"/>
      <c r="G19" s="70"/>
      <c r="H19" s="100"/>
      <c r="I19" s="56" t="s">
        <v>561</v>
      </c>
      <c r="J19" s="56"/>
      <c r="K19" s="124">
        <v>4.85517063415264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296"/>
      <c r="G20" s="74"/>
      <c r="H20" s="101"/>
      <c r="I20" s="56" t="s">
        <v>250</v>
      </c>
      <c r="J20" s="56"/>
      <c r="K20" s="124">
        <v>20.5818979420683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11.4451851851852</v>
      </c>
      <c r="E21" s="75">
        <v>9.69</v>
      </c>
      <c r="F21" s="296"/>
      <c r="G21" s="78"/>
      <c r="H21" s="102"/>
      <c r="I21" s="56" t="s">
        <v>595</v>
      </c>
      <c r="J21" s="56"/>
      <c r="K21" s="124">
        <v>5.43835881556029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72.293</v>
      </c>
      <c r="E22" s="75">
        <v>70.9502777777778</v>
      </c>
      <c r="F22" s="296"/>
      <c r="G22" s="78"/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296"/>
      <c r="G23" s="75"/>
      <c r="H23" s="75" t="s">
        <v>596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296"/>
      <c r="G24" s="77"/>
      <c r="H24" s="77" t="s">
        <v>597</v>
      </c>
      <c r="I24" s="127" t="s">
        <v>80</v>
      </c>
      <c r="J24" s="56"/>
      <c r="K24" s="122">
        <v>36.189284160791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296"/>
      <c r="G25" s="77"/>
      <c r="H25" s="77" t="s">
        <v>359</v>
      </c>
      <c r="I25" s="128" t="s">
        <v>83</v>
      </c>
      <c r="J25" s="56"/>
      <c r="K25" s="122">
        <v>89.1706348771127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296"/>
      <c r="G26" s="78"/>
      <c r="H26" s="78" t="s">
        <v>416</v>
      </c>
      <c r="I26" s="57" t="s">
        <v>86</v>
      </c>
      <c r="J26" s="56"/>
      <c r="K26" s="122">
        <f>21.4522305427547/K24*100</f>
        <v>59.2778526578233</v>
      </c>
      <c r="L26" s="123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296"/>
      <c r="G27" s="75"/>
      <c r="H27" s="75" t="s">
        <v>299</v>
      </c>
      <c r="I27" s="129"/>
      <c r="J27" s="130"/>
      <c r="K27" s="131"/>
      <c r="L27" s="132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296"/>
      <c r="G28" s="75"/>
      <c r="H28" s="75" t="s">
        <v>267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7.514</v>
      </c>
      <c r="E29" s="75">
        <v>7.51416666666667</v>
      </c>
      <c r="F29" s="296"/>
      <c r="G29" s="78"/>
      <c r="H29" s="78"/>
      <c r="I29" s="66" t="s">
        <v>26</v>
      </c>
      <c r="J29" s="64"/>
      <c r="K29" s="13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42.5857534246575</v>
      </c>
      <c r="E30" s="77">
        <v>41.9370879120879</v>
      </c>
      <c r="F30" s="296"/>
      <c r="G30" s="78"/>
      <c r="H30" s="78"/>
      <c r="I30" s="66" t="s">
        <v>96</v>
      </c>
      <c r="J30" s="92"/>
      <c r="K30" s="135">
        <v>1106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2.4932335</v>
      </c>
      <c r="E31" s="75">
        <v>2.51592591666667</v>
      </c>
      <c r="F31" s="296"/>
      <c r="G31" s="78"/>
      <c r="H31" s="78"/>
      <c r="I31" s="66" t="s">
        <v>99</v>
      </c>
      <c r="J31" s="92"/>
      <c r="K31" s="135">
        <v>1720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4.613</v>
      </c>
      <c r="E32" s="75">
        <v>4.51333333333333</v>
      </c>
      <c r="F32" s="296"/>
      <c r="G32" s="78"/>
      <c r="H32" s="78"/>
      <c r="I32" s="66" t="s">
        <v>66</v>
      </c>
      <c r="J32" s="92"/>
      <c r="K32" s="135">
        <v>500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153</v>
      </c>
      <c r="E33" s="77">
        <v>133</v>
      </c>
      <c r="F33" s="296"/>
      <c r="G33" s="78"/>
      <c r="H33" s="78"/>
      <c r="I33" s="57" t="s">
        <v>103</v>
      </c>
      <c r="J33" s="64"/>
      <c r="K33" s="136">
        <v>1.7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0.218777777777778</v>
      </c>
      <c r="E34" s="80">
        <v>0.22475</v>
      </c>
      <c r="F34" s="296"/>
      <c r="G34" s="78"/>
      <c r="H34" s="78"/>
      <c r="I34" s="66" t="s">
        <v>105</v>
      </c>
      <c r="J34" s="64"/>
      <c r="K34" s="137">
        <v>9.69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70.9502777777778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54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51.1624548736461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145">
        <v>43.327797833935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146">
        <v>0.376143600004096</v>
      </c>
    </row>
    <row r="43" ht="15" customHeight="1" spans="1:12">
      <c r="A43" s="157"/>
      <c r="B43" s="66" t="s">
        <v>121</v>
      </c>
      <c r="C43" s="64" t="s">
        <v>122</v>
      </c>
      <c r="D43" s="77">
        <v>192</v>
      </c>
      <c r="E43" s="77">
        <v>192</v>
      </c>
      <c r="F43" s="77"/>
      <c r="G43" s="78"/>
      <c r="H43" s="102"/>
      <c r="I43" s="66"/>
      <c r="J43" s="64" t="s">
        <v>123</v>
      </c>
      <c r="K43" s="144" t="s">
        <v>124</v>
      </c>
      <c r="L43" s="147">
        <v>18.8086642599278</v>
      </c>
    </row>
    <row r="44" ht="15" customHeight="1" spans="1:17">
      <c r="A44" s="157"/>
      <c r="B44" s="66" t="s">
        <v>125</v>
      </c>
      <c r="C44" s="64" t="s">
        <v>122</v>
      </c>
      <c r="D44" s="77">
        <v>230</v>
      </c>
      <c r="E44" s="77">
        <f>E43*E46/E45</f>
        <v>229.894736842105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38</v>
      </c>
      <c r="E45" s="75">
        <v>38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45.5</v>
      </c>
      <c r="E46" s="78">
        <v>45.5</v>
      </c>
      <c r="F46" s="78"/>
      <c r="G46" s="78"/>
      <c r="H46" s="102"/>
      <c r="I46" s="66"/>
      <c r="J46" s="64" t="s">
        <v>131</v>
      </c>
      <c r="K46" s="79">
        <v>196.931665881655</v>
      </c>
      <c r="L46" s="147">
        <f>K46*L40/100</f>
        <v>100.755074688621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8"/>
      <c r="G47" s="78"/>
      <c r="H47" s="102"/>
      <c r="I47" s="66"/>
      <c r="J47" s="64" t="s">
        <v>134</v>
      </c>
      <c r="K47" s="79">
        <f>K46/K24*100/K25*100</f>
        <v>610.258311810961</v>
      </c>
      <c r="L47" s="147">
        <f>K47*L40/100</f>
        <v>312.223133392957</v>
      </c>
    </row>
    <row r="48" ht="15" customHeight="1" spans="1:13">
      <c r="A48" s="157"/>
      <c r="B48" s="66" t="s">
        <v>135</v>
      </c>
      <c r="C48" s="64" t="s">
        <v>240</v>
      </c>
      <c r="D48" s="69">
        <v>8588</v>
      </c>
      <c r="E48" s="69">
        <v>7371</v>
      </c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7510.36458333333</v>
      </c>
      <c r="E49" s="69">
        <v>6641.33333333333</v>
      </c>
      <c r="F49" s="78"/>
      <c r="G49" s="69"/>
      <c r="H49" s="98"/>
      <c r="I49" s="66"/>
      <c r="J49" s="64" t="s">
        <v>139</v>
      </c>
      <c r="K49" s="150">
        <v>7588.50533333333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f>D49/24/365*100</f>
        <v>85.7347555175038</v>
      </c>
      <c r="E50" s="77">
        <f>E49/24/365*100</f>
        <v>75.8143074581431</v>
      </c>
      <c r="F50" s="78"/>
      <c r="G50" s="78"/>
      <c r="H50" s="102"/>
      <c r="I50" s="66"/>
      <c r="J50" s="64" t="s">
        <v>141</v>
      </c>
      <c r="K50" s="150">
        <v>357.371065952734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3">
      <c r="A55" s="157"/>
      <c r="B55" s="66" t="s">
        <v>146</v>
      </c>
      <c r="C55" s="93">
        <v>350824.3125</v>
      </c>
      <c r="D55" s="69">
        <v>12.6660318175964</v>
      </c>
      <c r="E55" s="111" t="s">
        <v>147</v>
      </c>
      <c r="F55" s="64"/>
      <c r="G55" s="64" t="s">
        <v>148</v>
      </c>
      <c r="H55" s="64"/>
      <c r="I55" s="69">
        <v>400000</v>
      </c>
      <c r="J55" s="69">
        <f>I55/3316476.37692982*100</f>
        <v>12.0609934924456</v>
      </c>
      <c r="K55" s="111" t="s">
        <v>149</v>
      </c>
      <c r="L55" s="114"/>
      <c r="M55" s="753"/>
    </row>
    <row r="56" ht="15" customHeight="1" spans="1:12">
      <c r="A56" s="157"/>
      <c r="B56" s="66"/>
      <c r="C56" s="69"/>
      <c r="D56" s="69"/>
      <c r="E56" s="111"/>
      <c r="F56" s="64"/>
      <c r="G56" s="64" t="s">
        <v>598</v>
      </c>
      <c r="H56" s="64"/>
      <c r="I56" s="69">
        <f>(1470000+1790000)/2</f>
        <v>1630000</v>
      </c>
      <c r="J56" s="69">
        <f>I56/3316476.37692982*100</f>
        <v>49.1485484817157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1">
    <mergeCell ref="B2:L2"/>
  </mergeCells>
  <pageMargins left="0.7" right="0.7" top="0.787401575" bottom="0.787401575" header="0.3" footer="0.3"/>
  <headerFooter/>
  <ignoredErrors>
    <ignoredError sqref="D18:E18" numberStoredAsText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-0.249977111117893"/>
  </sheetPr>
  <dimension ref="B2:I54"/>
  <sheetViews>
    <sheetView zoomScale="85" zoomScaleNormal="85" workbookViewId="0">
      <selection activeCell="A1" sqref="A1"/>
    </sheetView>
  </sheetViews>
  <sheetFormatPr defaultColWidth="11.5" defaultRowHeight="16.8"/>
  <sheetData>
    <row r="2" spans="2:9">
      <c r="B2" t="s">
        <v>154</v>
      </c>
      <c r="C2" t="s">
        <v>155</v>
      </c>
      <c r="D2" t="s">
        <v>58</v>
      </c>
      <c r="E2" t="s">
        <v>561</v>
      </c>
      <c r="F2" t="s">
        <v>595</v>
      </c>
      <c r="G2" t="s">
        <v>157</v>
      </c>
      <c r="H2" t="s">
        <v>250</v>
      </c>
      <c r="I2" t="s">
        <v>538</v>
      </c>
    </row>
    <row r="3" spans="3:8">
      <c r="C3" t="s">
        <v>59</v>
      </c>
      <c r="D3" t="s">
        <v>59</v>
      </c>
      <c r="E3" t="s">
        <v>59</v>
      </c>
      <c r="F3" t="s">
        <v>59</v>
      </c>
      <c r="G3" t="s">
        <v>59</v>
      </c>
      <c r="H3" t="s">
        <v>59</v>
      </c>
    </row>
    <row r="4" spans="2:9">
      <c r="B4" t="s">
        <v>177</v>
      </c>
      <c r="C4">
        <v>36.2108922363847</v>
      </c>
      <c r="D4">
        <v>3.33140208574739</v>
      </c>
      <c r="E4">
        <v>4.25840092699884</v>
      </c>
      <c r="F4">
        <v>0</v>
      </c>
      <c r="G4">
        <v>29.837775202781</v>
      </c>
      <c r="H4">
        <v>26.3615295480881</v>
      </c>
      <c r="I4">
        <v>23.0133333333333</v>
      </c>
    </row>
    <row r="5" spans="2:9">
      <c r="B5" t="s">
        <v>166</v>
      </c>
      <c r="C5">
        <v>36.0972122944961</v>
      </c>
      <c r="D5">
        <v>13.0807719799857</v>
      </c>
      <c r="E5">
        <v>4.90350250178699</v>
      </c>
      <c r="F5">
        <v>0</v>
      </c>
      <c r="G5">
        <v>21.4438884917798</v>
      </c>
      <c r="H5">
        <v>24.4746247319514</v>
      </c>
      <c r="I5">
        <v>22.5645161290323</v>
      </c>
    </row>
    <row r="6" spans="2:9">
      <c r="B6" t="s">
        <v>167</v>
      </c>
      <c r="C6">
        <v>36.9889682024659</v>
      </c>
      <c r="D6">
        <v>18.7378325762492</v>
      </c>
      <c r="E6">
        <v>7.44646333549643</v>
      </c>
      <c r="F6">
        <v>0</v>
      </c>
      <c r="G6">
        <v>15.8176508760545</v>
      </c>
      <c r="H6">
        <v>21.0090850097339</v>
      </c>
      <c r="I6">
        <v>20.5466666666667</v>
      </c>
    </row>
    <row r="7" spans="2:9">
      <c r="B7" t="s">
        <v>168</v>
      </c>
      <c r="C7">
        <v>36.9127516778523</v>
      </c>
      <c r="D7">
        <v>0</v>
      </c>
      <c r="E7">
        <v>7.18263601313723</v>
      </c>
      <c r="F7">
        <v>17.4925032129088</v>
      </c>
      <c r="G7">
        <v>20.7054119663002</v>
      </c>
      <c r="H7">
        <v>17.7066971298015</v>
      </c>
      <c r="I7">
        <v>22.5903225806452</v>
      </c>
    </row>
    <row r="8" spans="2:9">
      <c r="B8" t="s">
        <v>169</v>
      </c>
      <c r="C8">
        <v>36.8958573072497</v>
      </c>
      <c r="D8">
        <v>0</v>
      </c>
      <c r="E8">
        <v>6.57364787111623</v>
      </c>
      <c r="F8">
        <v>21.5765247410817</v>
      </c>
      <c r="G8">
        <v>17.4050632911392</v>
      </c>
      <c r="H8">
        <v>17.5489067894131</v>
      </c>
      <c r="I8">
        <v>22.4258064516129</v>
      </c>
    </row>
    <row r="9" spans="2:9">
      <c r="B9" t="s">
        <v>170</v>
      </c>
      <c r="C9">
        <v>36.7804717136731</v>
      </c>
      <c r="D9">
        <v>0</v>
      </c>
      <c r="E9">
        <v>6.64687448457859</v>
      </c>
      <c r="F9">
        <v>18.1428335807356</v>
      </c>
      <c r="G9">
        <v>17.4830941777998</v>
      </c>
      <c r="H9">
        <v>20.9467260432129</v>
      </c>
      <c r="I9">
        <v>21.6535714285714</v>
      </c>
    </row>
    <row r="10" spans="2:9">
      <c r="B10" t="s">
        <v>171</v>
      </c>
      <c r="C10">
        <v>38.3046897757064</v>
      </c>
      <c r="D10">
        <v>13.035246140402</v>
      </c>
      <c r="E10">
        <v>4.82085639382464</v>
      </c>
      <c r="F10">
        <v>5.68016312263327</v>
      </c>
      <c r="G10">
        <v>17.1861345761725</v>
      </c>
      <c r="H10">
        <v>20.9729099912613</v>
      </c>
      <c r="I10">
        <v>22.1483870967742</v>
      </c>
    </row>
    <row r="11" spans="2:9">
      <c r="B11" t="s">
        <v>172</v>
      </c>
      <c r="C11">
        <v>32.9411764705882</v>
      </c>
      <c r="D11">
        <v>27.3356401384083</v>
      </c>
      <c r="E11">
        <v>4.01384083044983</v>
      </c>
      <c r="F11">
        <v>0</v>
      </c>
      <c r="G11">
        <v>16.0553633217993</v>
      </c>
      <c r="H11">
        <v>19.6539792387543</v>
      </c>
      <c r="I11">
        <v>24.0833333333333</v>
      </c>
    </row>
    <row r="12" spans="2:9">
      <c r="B12" t="s">
        <v>173</v>
      </c>
      <c r="C12">
        <v>42.2608695652174</v>
      </c>
      <c r="D12">
        <v>26.8695652173913</v>
      </c>
      <c r="E12">
        <v>1.1304347826087</v>
      </c>
      <c r="F12">
        <v>0</v>
      </c>
      <c r="G12">
        <v>24.1739130434783</v>
      </c>
      <c r="H12">
        <v>5.56521739130435</v>
      </c>
      <c r="I12">
        <v>18.5483870967742</v>
      </c>
    </row>
    <row r="13" spans="2:9">
      <c r="B13" t="s">
        <v>174</v>
      </c>
      <c r="C13">
        <v>42.0408163265306</v>
      </c>
      <c r="D13">
        <v>10.9183673469388</v>
      </c>
      <c r="E13">
        <v>0.306122448979592</v>
      </c>
      <c r="F13">
        <v>0</v>
      </c>
      <c r="G13">
        <v>32.2448979591837</v>
      </c>
      <c r="H13">
        <v>14.4897959183674</v>
      </c>
      <c r="I13">
        <v>16.3333333333333</v>
      </c>
    </row>
    <row r="14" spans="2:9">
      <c r="B14" t="s">
        <v>175</v>
      </c>
      <c r="C14">
        <v>38.6651692603883</v>
      </c>
      <c r="D14">
        <v>0</v>
      </c>
      <c r="E14">
        <v>4.70078613829617</v>
      </c>
      <c r="F14">
        <v>0</v>
      </c>
      <c r="G14">
        <v>29.4400770094657</v>
      </c>
      <c r="H14">
        <v>27.1939675918498</v>
      </c>
      <c r="I14">
        <v>20.1064516129032</v>
      </c>
    </row>
    <row r="15" spans="2:9">
      <c r="B15" t="s">
        <v>176</v>
      </c>
      <c r="C15">
        <v>39.5348837209302</v>
      </c>
      <c r="D15">
        <v>0.750187546886722</v>
      </c>
      <c r="E15">
        <v>4.65116279069767</v>
      </c>
      <c r="F15">
        <v>0</v>
      </c>
      <c r="G15">
        <v>27.906976744186</v>
      </c>
      <c r="H15">
        <v>27.1567891972993</v>
      </c>
      <c r="I15">
        <v>21.5</v>
      </c>
    </row>
    <row r="23" spans="2:3">
      <c r="B23" t="s">
        <v>104</v>
      </c>
      <c r="C23" t="s">
        <v>22</v>
      </c>
    </row>
    <row r="24" spans="3:3">
      <c r="C24" t="s">
        <v>62</v>
      </c>
    </row>
    <row r="26" spans="2:3">
      <c r="B26" t="s">
        <v>177</v>
      </c>
      <c r="C26">
        <v>0.266</v>
      </c>
    </row>
    <row r="27" spans="2:3">
      <c r="B27" t="s">
        <v>166</v>
      </c>
      <c r="C27">
        <v>0.211</v>
      </c>
    </row>
    <row r="28" spans="2:3">
      <c r="B28" t="s">
        <v>167</v>
      </c>
      <c r="C28">
        <v>0.107</v>
      </c>
    </row>
    <row r="29" spans="2:3">
      <c r="B29" t="s">
        <v>168</v>
      </c>
      <c r="C29">
        <v>0.216</v>
      </c>
    </row>
    <row r="30" spans="2:3">
      <c r="B30" t="s">
        <v>169</v>
      </c>
      <c r="C30">
        <v>0.159</v>
      </c>
    </row>
    <row r="31" spans="2:3">
      <c r="B31" t="s">
        <v>170</v>
      </c>
      <c r="C31">
        <v>0.231</v>
      </c>
    </row>
    <row r="32" spans="2:3">
      <c r="B32" t="s">
        <v>171</v>
      </c>
      <c r="C32">
        <v>0.237</v>
      </c>
    </row>
    <row r="33" spans="2:3">
      <c r="B33" t="s">
        <v>172</v>
      </c>
      <c r="C33">
        <v>0.243</v>
      </c>
    </row>
    <row r="34" spans="2:3">
      <c r="B34" t="s">
        <v>173</v>
      </c>
      <c r="C34">
        <v>0</v>
      </c>
    </row>
    <row r="35" spans="2:3">
      <c r="B35" t="s">
        <v>174</v>
      </c>
      <c r="C35">
        <v>0</v>
      </c>
    </row>
    <row r="36" spans="2:3">
      <c r="B36" t="s">
        <v>175</v>
      </c>
      <c r="C36">
        <v>0.299</v>
      </c>
    </row>
    <row r="37" spans="2:3">
      <c r="B37" t="s">
        <v>176</v>
      </c>
      <c r="C37">
        <v>0.216</v>
      </c>
    </row>
    <row r="41" spans="3:8"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184</v>
      </c>
    </row>
    <row r="42" spans="2:6">
      <c r="B42" t="s">
        <v>154</v>
      </c>
      <c r="C42" t="s">
        <v>185</v>
      </c>
      <c r="D42" t="s">
        <v>185</v>
      </c>
      <c r="E42" t="s">
        <v>122</v>
      </c>
      <c r="F42" t="s">
        <v>122</v>
      </c>
    </row>
    <row r="43" spans="2:8">
      <c r="B43" t="s">
        <v>177</v>
      </c>
      <c r="C43">
        <v>0</v>
      </c>
      <c r="D43">
        <v>339.178333333333</v>
      </c>
      <c r="E43" t="s">
        <v>599</v>
      </c>
      <c r="F43">
        <v>422</v>
      </c>
      <c r="G43">
        <v>92.9765168128655</v>
      </c>
      <c r="H43">
        <v>0</v>
      </c>
    </row>
    <row r="44" spans="2:8">
      <c r="B44" t="s">
        <v>166</v>
      </c>
      <c r="C44">
        <v>0</v>
      </c>
      <c r="D44">
        <v>333.47625</v>
      </c>
      <c r="E44" t="s">
        <v>599</v>
      </c>
      <c r="F44">
        <v>422</v>
      </c>
      <c r="G44">
        <v>91.4134457236842</v>
      </c>
      <c r="H44">
        <v>0</v>
      </c>
    </row>
    <row r="45" spans="2:8">
      <c r="B45" t="s">
        <v>167</v>
      </c>
      <c r="C45">
        <v>0</v>
      </c>
      <c r="D45">
        <v>327.507833333333</v>
      </c>
      <c r="E45" t="s">
        <v>599</v>
      </c>
      <c r="F45">
        <v>422</v>
      </c>
      <c r="G45">
        <v>89.7773665935673</v>
      </c>
      <c r="H45">
        <v>0</v>
      </c>
    </row>
    <row r="46" spans="2:8">
      <c r="B46" t="s">
        <v>168</v>
      </c>
      <c r="C46">
        <v>0</v>
      </c>
      <c r="D46">
        <v>328.651083333333</v>
      </c>
      <c r="E46" t="s">
        <v>599</v>
      </c>
      <c r="F46">
        <v>422</v>
      </c>
      <c r="G46">
        <v>90.0907574926901</v>
      </c>
      <c r="H46">
        <v>0</v>
      </c>
    </row>
    <row r="47" spans="2:8">
      <c r="B47" t="s">
        <v>169</v>
      </c>
      <c r="C47">
        <v>0</v>
      </c>
      <c r="D47">
        <v>319.437083333333</v>
      </c>
      <c r="E47" t="s">
        <v>599</v>
      </c>
      <c r="F47">
        <v>422</v>
      </c>
      <c r="G47">
        <v>87.5649899488304</v>
      </c>
      <c r="H47">
        <v>0</v>
      </c>
    </row>
    <row r="48" spans="2:8">
      <c r="B48" t="s">
        <v>170</v>
      </c>
      <c r="C48">
        <v>0</v>
      </c>
      <c r="D48">
        <v>322.31575</v>
      </c>
      <c r="E48" t="s">
        <v>599</v>
      </c>
      <c r="F48">
        <v>422</v>
      </c>
      <c r="G48">
        <v>88.3540981359649</v>
      </c>
      <c r="H48">
        <v>0</v>
      </c>
    </row>
    <row r="49" spans="2:8">
      <c r="B49" t="s">
        <v>171</v>
      </c>
      <c r="C49">
        <v>0</v>
      </c>
      <c r="D49">
        <v>333.843166666667</v>
      </c>
      <c r="E49" t="s">
        <v>599</v>
      </c>
      <c r="F49">
        <v>422</v>
      </c>
      <c r="G49">
        <v>91.5140259502924</v>
      </c>
      <c r="H49">
        <v>0</v>
      </c>
    </row>
    <row r="50" spans="2:8">
      <c r="B50" t="s">
        <v>172</v>
      </c>
      <c r="C50">
        <v>0</v>
      </c>
      <c r="D50">
        <v>319.65525</v>
      </c>
      <c r="E50" t="s">
        <v>599</v>
      </c>
      <c r="F50">
        <v>422</v>
      </c>
      <c r="G50">
        <v>87.6247944078947</v>
      </c>
      <c r="H50">
        <v>0</v>
      </c>
    </row>
    <row r="51" spans="2:8">
      <c r="B51" t="s">
        <v>173</v>
      </c>
      <c r="C51">
        <v>0</v>
      </c>
      <c r="D51">
        <v>279.869583333333</v>
      </c>
      <c r="E51" t="s">
        <v>599</v>
      </c>
      <c r="F51">
        <v>422</v>
      </c>
      <c r="G51">
        <v>76.7186357821637</v>
      </c>
      <c r="H51">
        <v>0</v>
      </c>
    </row>
    <row r="52" spans="2:8">
      <c r="B52" t="s">
        <v>174</v>
      </c>
      <c r="C52">
        <v>0</v>
      </c>
      <c r="D52">
        <v>267.776916666667</v>
      </c>
      <c r="E52" t="s">
        <v>599</v>
      </c>
      <c r="F52">
        <v>422</v>
      </c>
      <c r="G52">
        <v>73.4037600511696</v>
      </c>
      <c r="H52">
        <v>0</v>
      </c>
    </row>
    <row r="53" spans="2:8">
      <c r="B53" t="s">
        <v>175</v>
      </c>
      <c r="C53">
        <v>0</v>
      </c>
      <c r="D53">
        <v>305.512666666667</v>
      </c>
      <c r="E53" t="s">
        <v>599</v>
      </c>
      <c r="F53">
        <v>422</v>
      </c>
      <c r="G53">
        <v>83.7479897660819</v>
      </c>
      <c r="H53">
        <v>0</v>
      </c>
    </row>
    <row r="54" spans="2:8">
      <c r="B54" t="s">
        <v>176</v>
      </c>
      <c r="C54">
        <v>0</v>
      </c>
      <c r="D54">
        <v>317.02875</v>
      </c>
      <c r="E54" t="s">
        <v>599</v>
      </c>
      <c r="F54">
        <v>422</v>
      </c>
      <c r="G54">
        <v>86.9048108552632</v>
      </c>
      <c r="H54">
        <v>0</v>
      </c>
    </row>
  </sheetData>
  <pageMargins left="0.7" right="0.7" top="0.787401575" bottom="0.787401575" header="0.3" footer="0.3"/>
  <headerFooter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-0.249977111117893"/>
  </sheetPr>
  <dimension ref="A1:M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592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384</v>
      </c>
      <c r="G3" s="22"/>
      <c r="H3" s="23" t="s">
        <v>187</v>
      </c>
      <c r="I3" s="5" t="s">
        <v>188</v>
      </c>
      <c r="J3" s="35">
        <v>2565923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364.8</v>
      </c>
      <c r="G4" s="217"/>
      <c r="H4" s="25" t="s">
        <v>187</v>
      </c>
      <c r="I4" s="7" t="s">
        <v>191</v>
      </c>
      <c r="J4" s="37">
        <v>1739000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93.692383073182</v>
      </c>
      <c r="H6" s="27" t="s">
        <v>195</v>
      </c>
      <c r="I6" s="1"/>
      <c r="J6" s="40">
        <v>594153.92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6.30761692681802</v>
      </c>
      <c r="H7" s="27" t="s">
        <v>195</v>
      </c>
      <c r="I7" s="1"/>
      <c r="J7" s="40">
        <v>40000</v>
      </c>
      <c r="K7" s="41" t="s">
        <v>196</v>
      </c>
      <c r="L7" s="1"/>
    </row>
    <row r="8" ht="21.75" customHeight="1" spans="1:13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  <c r="M8" t="s">
        <v>77</v>
      </c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634153.92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34.8342394952639</v>
      </c>
      <c r="H11" s="27" t="s">
        <v>195</v>
      </c>
      <c r="I11" s="1"/>
      <c r="J11" s="40">
        <v>185072.2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35.7</v>
      </c>
      <c r="F13" s="15" t="s">
        <v>204</v>
      </c>
      <c r="G13" s="31"/>
      <c r="H13" s="15"/>
      <c r="I13" s="15"/>
      <c r="J13" s="45">
        <v>28060.2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30</v>
      </c>
      <c r="F14" s="15" t="s">
        <v>204</v>
      </c>
      <c r="G14" s="31"/>
      <c r="H14" s="15"/>
      <c r="I14" s="15"/>
      <c r="J14" s="45">
        <v>52260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33.13200257566</v>
      </c>
      <c r="F15" s="15" t="s">
        <v>204</v>
      </c>
      <c r="G15" s="31"/>
      <c r="H15" s="15"/>
      <c r="I15" s="15"/>
      <c r="J15" s="45">
        <v>51454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3.76439459792059</v>
      </c>
      <c r="H16" s="27" t="s">
        <v>195</v>
      </c>
      <c r="I16" s="1"/>
      <c r="J16" s="40">
        <v>20000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20.7418142345424</v>
      </c>
      <c r="H17" s="27" t="s">
        <v>195</v>
      </c>
      <c r="I17" s="1"/>
      <c r="J17" s="40">
        <v>110200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18.2048814297577</v>
      </c>
      <c r="H18" s="27" t="s">
        <v>195</v>
      </c>
      <c r="I18" s="1"/>
      <c r="J18" s="40">
        <v>96721.43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22.4546702425153</v>
      </c>
      <c r="H19" s="27" t="s">
        <v>195</v>
      </c>
      <c r="I19" s="1"/>
      <c r="J19" s="40">
        <v>119300.3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59531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84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1820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2400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13494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280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5097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25010.3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11584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531293.93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24.7144563574199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20.7057627995852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4.00869355783474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102859.99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/>
    <row r="41" ht="21.75" customHeight="1" spans="9:9">
      <c r="I41" t="s">
        <v>77</v>
      </c>
    </row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T62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4" width="15" style="156" customWidth="1"/>
    <col min="5" max="5" width="14.6634615384615" style="156" customWidth="1"/>
    <col min="6" max="6" width="14.3365384615385" style="156" customWidth="1"/>
    <col min="7" max="7" width="14.5" style="156" customWidth="1"/>
    <col min="8" max="8" width="15.663461538461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4" width="13.5" style="156" customWidth="1"/>
    <col min="15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600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8" t="s">
        <v>601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186">
        <v>39074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7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602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281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603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259</v>
      </c>
      <c r="E13" s="67" t="s">
        <v>178</v>
      </c>
      <c r="F13" s="67" t="s">
        <v>546</v>
      </c>
      <c r="G13" s="67" t="s">
        <v>547</v>
      </c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29">
        <v>1</v>
      </c>
      <c r="E14" s="68">
        <v>1</v>
      </c>
      <c r="F14" s="68">
        <v>1</v>
      </c>
      <c r="G14" s="68">
        <v>1</v>
      </c>
      <c r="H14" s="64"/>
      <c r="I14" s="57" t="s">
        <v>248</v>
      </c>
      <c r="J14" s="64"/>
      <c r="K14" s="119">
        <v>55618.2981935484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71">
        <v>1527</v>
      </c>
      <c r="E15" s="69">
        <v>1527</v>
      </c>
      <c r="F15" s="69">
        <v>2280</v>
      </c>
      <c r="G15" s="69">
        <v>2280</v>
      </c>
      <c r="H15" s="98">
        <v>7614</v>
      </c>
      <c r="I15" s="57" t="s">
        <v>249</v>
      </c>
      <c r="J15" s="64"/>
      <c r="K15" s="121">
        <v>152.378899160407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71">
        <v>1272</v>
      </c>
      <c r="E16" s="69">
        <v>1272</v>
      </c>
      <c r="F16" s="69">
        <v>1901</v>
      </c>
      <c r="G16" s="69">
        <v>1901</v>
      </c>
      <c r="H16" s="98">
        <v>6346</v>
      </c>
      <c r="I16" s="56" t="s">
        <v>157</v>
      </c>
      <c r="J16" s="56"/>
      <c r="K16" s="122">
        <v>0.957406136640419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 t="s">
        <v>63</v>
      </c>
      <c r="H17" s="98"/>
      <c r="I17" s="56" t="s">
        <v>58</v>
      </c>
      <c r="J17" s="56"/>
      <c r="K17" s="124">
        <v>27.8586733202084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 t="s">
        <v>604</v>
      </c>
      <c r="E18" s="71" t="s">
        <v>604</v>
      </c>
      <c r="F18" s="71" t="s">
        <v>605</v>
      </c>
      <c r="G18" s="71" t="s">
        <v>605</v>
      </c>
      <c r="H18" s="98">
        <v>2674</v>
      </c>
      <c r="I18" s="56" t="s">
        <v>155</v>
      </c>
      <c r="J18" s="56"/>
      <c r="K18" s="124">
        <v>27.986374099101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155</v>
      </c>
      <c r="J19" s="56"/>
      <c r="K19" s="124">
        <v>36.2270343653507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68</v>
      </c>
      <c r="J20" s="56"/>
      <c r="K20" s="124">
        <v>6.94333182680508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10.6275757575758</v>
      </c>
      <c r="E21" s="75">
        <v>10.7008333333333</v>
      </c>
      <c r="F21" s="75">
        <v>9.00866666666667</v>
      </c>
      <c r="G21" s="75">
        <v>8.61333333333333</v>
      </c>
      <c r="H21" s="102"/>
      <c r="I21" s="56" t="s">
        <v>158</v>
      </c>
      <c r="J21" s="56"/>
      <c r="K21" s="124">
        <v>0.166132375497095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76.7649937335558</v>
      </c>
      <c r="E22" s="75">
        <v>76.5792113502626</v>
      </c>
      <c r="F22" s="75">
        <v>72.536515961024</v>
      </c>
      <c r="G22" s="75">
        <v>72.1284195586435</v>
      </c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606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77" t="s">
        <v>607</v>
      </c>
      <c r="I24" s="127" t="s">
        <v>80</v>
      </c>
      <c r="J24" s="56"/>
      <c r="K24" s="122">
        <v>24.4029722755357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77" t="s">
        <v>608</v>
      </c>
      <c r="I25" s="128" t="s">
        <v>83</v>
      </c>
      <c r="J25" s="56"/>
      <c r="K25" s="122">
        <v>91.4671098070336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375</v>
      </c>
      <c r="I26" s="57" t="s">
        <v>86</v>
      </c>
      <c r="J26" s="56"/>
      <c r="K26" s="122">
        <v>55.6312770574502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429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482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7.69583333333333</v>
      </c>
      <c r="E29" s="75">
        <v>7.74916666666667</v>
      </c>
      <c r="F29" s="75">
        <v>7.819</v>
      </c>
      <c r="G29" s="75">
        <v>7.94090909090909</v>
      </c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50.9523265488991</v>
      </c>
      <c r="E30" s="77">
        <v>47.1593189964158</v>
      </c>
      <c r="F30" s="77">
        <v>51.1681707629288</v>
      </c>
      <c r="G30" s="77">
        <v>48.2246575342466</v>
      </c>
      <c r="H30" s="78"/>
      <c r="I30" s="66" t="s">
        <v>96</v>
      </c>
      <c r="J30" s="92"/>
      <c r="K30" s="135">
        <v>4948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2.91773783333333</v>
      </c>
      <c r="E31" s="75">
        <v>2.8946855</v>
      </c>
      <c r="F31" s="75">
        <v>3.4103132</v>
      </c>
      <c r="G31" s="75">
        <v>3.46538372727273</v>
      </c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5.46458333333333</v>
      </c>
      <c r="E32" s="75">
        <v>5.47125</v>
      </c>
      <c r="F32" s="75">
        <v>5.529</v>
      </c>
      <c r="G32" s="75">
        <v>5.52954545454545</v>
      </c>
      <c r="H32" s="78"/>
      <c r="I32" s="66" t="s">
        <v>66</v>
      </c>
      <c r="J32" s="92"/>
      <c r="K32" s="135">
        <v>5400</v>
      </c>
      <c r="L32" s="120" t="s">
        <v>55</v>
      </c>
    </row>
    <row r="33" ht="15" customHeight="1" spans="1:16">
      <c r="A33" s="157"/>
      <c r="B33" s="66" t="s">
        <v>101</v>
      </c>
      <c r="C33" s="64" t="s">
        <v>609</v>
      </c>
      <c r="D33" s="150">
        <v>1907.80083333333</v>
      </c>
      <c r="E33" s="150">
        <v>2043.64541666667</v>
      </c>
      <c r="F33" s="77">
        <v>753.9465</v>
      </c>
      <c r="G33" s="77">
        <v>187.455909090909</v>
      </c>
      <c r="H33" s="78"/>
      <c r="I33" s="57" t="s">
        <v>103</v>
      </c>
      <c r="J33" s="64"/>
      <c r="K33" s="136">
        <v>4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0.461909090909091</v>
      </c>
      <c r="E34" s="80">
        <v>0.457416666666667</v>
      </c>
      <c r="F34" s="80">
        <v>0.2808</v>
      </c>
      <c r="G34" s="80">
        <v>0.234454545454545</v>
      </c>
      <c r="H34" s="78"/>
      <c r="I34" s="66" t="s">
        <v>105</v>
      </c>
      <c r="J34" s="64"/>
      <c r="K34" s="137">
        <v>6.59899391055413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67.8738779380628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71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51.6191780821918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 t="s">
        <v>316</v>
      </c>
      <c r="H41" s="67" t="s">
        <v>317</v>
      </c>
      <c r="I41" s="66"/>
      <c r="J41" s="64" t="s">
        <v>113</v>
      </c>
      <c r="K41" s="143" t="s">
        <v>116</v>
      </c>
      <c r="L41" s="145">
        <v>44.1306849315069</v>
      </c>
    </row>
    <row r="42" ht="15" customHeight="1" spans="1:12">
      <c r="A42" s="157"/>
      <c r="B42" s="66" t="s">
        <v>118</v>
      </c>
      <c r="C42" s="64"/>
      <c r="D42" s="78" t="s">
        <v>301</v>
      </c>
      <c r="E42" s="78" t="s">
        <v>301</v>
      </c>
      <c r="F42" s="78" t="s">
        <v>301</v>
      </c>
      <c r="G42" s="78" t="s">
        <v>119</v>
      </c>
      <c r="H42" s="102" t="s">
        <v>119</v>
      </c>
      <c r="I42" s="66"/>
      <c r="J42" s="64" t="s">
        <v>113</v>
      </c>
      <c r="K42" s="143" t="s">
        <v>120</v>
      </c>
      <c r="L42" s="146">
        <v>0.82767123287671</v>
      </c>
    </row>
    <row r="43" ht="15" customHeight="1" spans="1:12">
      <c r="A43" s="157"/>
      <c r="B43" s="66" t="s">
        <v>121</v>
      </c>
      <c r="C43" s="64" t="s">
        <v>122</v>
      </c>
      <c r="D43" s="77">
        <v>265</v>
      </c>
      <c r="E43" s="77">
        <v>265</v>
      </c>
      <c r="F43" s="77">
        <v>340</v>
      </c>
      <c r="G43" s="78">
        <v>340</v>
      </c>
      <c r="H43" s="102">
        <v>380</v>
      </c>
      <c r="I43" s="66"/>
      <c r="J43" s="64" t="s">
        <v>123</v>
      </c>
      <c r="K43" s="144" t="s">
        <v>124</v>
      </c>
      <c r="L43" s="147">
        <v>42.9780821917808</v>
      </c>
    </row>
    <row r="44" ht="15" customHeight="1" spans="1:17">
      <c r="A44" s="157"/>
      <c r="B44" s="66" t="s">
        <v>125</v>
      </c>
      <c r="C44" s="64" t="s">
        <v>122</v>
      </c>
      <c r="D44" s="77">
        <v>192</v>
      </c>
      <c r="E44" s="77">
        <v>209</v>
      </c>
      <c r="F44" s="77">
        <v>317</v>
      </c>
      <c r="G44" s="78">
        <v>317</v>
      </c>
      <c r="H44" s="102" t="s">
        <v>72</v>
      </c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47</v>
      </c>
      <c r="E45" s="75">
        <v>47</v>
      </c>
      <c r="F45" s="75">
        <v>44</v>
      </c>
      <c r="G45" s="75">
        <v>44</v>
      </c>
      <c r="H45" s="103">
        <v>40</v>
      </c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34</v>
      </c>
      <c r="E46" s="75">
        <v>37</v>
      </c>
      <c r="F46" s="75">
        <v>41</v>
      </c>
      <c r="G46" s="75">
        <v>41</v>
      </c>
      <c r="H46" s="103" t="s">
        <v>72</v>
      </c>
      <c r="I46" s="66"/>
      <c r="J46" s="64" t="s">
        <v>131</v>
      </c>
      <c r="K46" s="79">
        <v>89.8765038891038</v>
      </c>
      <c r="L46" s="147">
        <f>K46*$L$40/100</f>
        <v>46.3935125965646</v>
      </c>
      <c r="M46" s="180"/>
    </row>
    <row r="47" ht="15" customHeight="1" spans="1:14">
      <c r="A47" s="157"/>
      <c r="B47" s="57" t="s">
        <v>132</v>
      </c>
      <c r="C47" s="56" t="s">
        <v>62</v>
      </c>
      <c r="D47" s="70" t="s">
        <v>318</v>
      </c>
      <c r="E47" s="70" t="s">
        <v>318</v>
      </c>
      <c r="F47" s="70" t="s">
        <v>318</v>
      </c>
      <c r="G47" s="70" t="s">
        <v>318</v>
      </c>
      <c r="H47" s="70" t="s">
        <v>318</v>
      </c>
      <c r="I47" s="66"/>
      <c r="J47" s="64" t="s">
        <v>134</v>
      </c>
      <c r="K47" s="79">
        <f>K46/K24*100/K25*100</f>
        <v>402.659998448188</v>
      </c>
      <c r="L47" s="147">
        <f>K47*$L$40/100</f>
        <v>207.849781664721</v>
      </c>
      <c r="N47" s="752"/>
    </row>
    <row r="48" ht="15" customHeight="1" spans="1:13">
      <c r="A48" s="157"/>
      <c r="B48" s="66" t="s">
        <v>135</v>
      </c>
      <c r="C48" s="64" t="s">
        <v>240</v>
      </c>
      <c r="D48" s="69">
        <v>5581</v>
      </c>
      <c r="E48" s="69">
        <v>3934</v>
      </c>
      <c r="F48" s="69">
        <v>7438</v>
      </c>
      <c r="G48" s="69">
        <v>4928</v>
      </c>
      <c r="H48" s="102" t="s">
        <v>72</v>
      </c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5758.41118781003</v>
      </c>
      <c r="E49" s="69">
        <v>4220.79960473936</v>
      </c>
      <c r="F49" s="69">
        <v>7370.66138219793</v>
      </c>
      <c r="G49" s="69">
        <v>4958.03766512036</v>
      </c>
      <c r="H49" s="98">
        <v>4436.13896352874</v>
      </c>
      <c r="I49" s="66"/>
      <c r="J49" s="64" t="s">
        <v>139</v>
      </c>
      <c r="K49" s="150">
        <v>59788.4746031746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65.735287532078</v>
      </c>
      <c r="E50" s="77">
        <v>48.1826438897187</v>
      </c>
      <c r="F50" s="77">
        <v>84.1399701164147</v>
      </c>
      <c r="G50" s="77">
        <v>56.5986034831091</v>
      </c>
      <c r="H50" s="174">
        <v>50.640855748045</v>
      </c>
      <c r="I50" s="66"/>
      <c r="J50" s="64" t="s">
        <v>141</v>
      </c>
      <c r="K50" s="150">
        <f>K49/K15</f>
        <v>392.367151440281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3">
      <c r="A55" s="157"/>
      <c r="B55" s="66" t="s">
        <v>146</v>
      </c>
      <c r="C55" s="93">
        <v>1267801.7952885</v>
      </c>
      <c r="D55" s="69">
        <v>5.80953034708874</v>
      </c>
      <c r="E55" s="111" t="s">
        <v>147</v>
      </c>
      <c r="F55" s="64"/>
      <c r="G55" s="64" t="s">
        <v>148</v>
      </c>
      <c r="H55" s="64"/>
      <c r="I55" s="69">
        <v>1980260</v>
      </c>
      <c r="J55" s="69">
        <f>I55/C55*D55*38.25/44.4</f>
        <v>7.81736421977417</v>
      </c>
      <c r="K55" s="111" t="s">
        <v>149</v>
      </c>
      <c r="L55" s="114"/>
      <c r="M55" s="753"/>
    </row>
    <row r="56" ht="15" customHeight="1" spans="1:12">
      <c r="A56" s="157"/>
      <c r="B56" s="66"/>
      <c r="C56" s="69"/>
      <c r="D56" s="69"/>
      <c r="E56" s="111"/>
      <c r="F56" s="64"/>
      <c r="G56" s="64" t="s">
        <v>598</v>
      </c>
      <c r="H56" s="64"/>
      <c r="I56" s="69">
        <v>1050390</v>
      </c>
      <c r="J56" s="69">
        <f>I56/I55*J55</f>
        <v>4.14656721986436</v>
      </c>
      <c r="K56" s="111" t="s">
        <v>149</v>
      </c>
      <c r="L56" s="114"/>
    </row>
    <row r="57" ht="15" customHeight="1" spans="1:12">
      <c r="A57" s="157"/>
      <c r="B57" s="66"/>
      <c r="C57" s="69"/>
      <c r="D57" s="189"/>
      <c r="E57" s="111"/>
      <c r="F57" s="64"/>
      <c r="G57" s="64" t="s">
        <v>554</v>
      </c>
      <c r="H57" s="64"/>
      <c r="I57" s="69">
        <v>2504400</v>
      </c>
      <c r="J57" s="69">
        <f>I57/I56*J56</f>
        <v>9.88648306384134</v>
      </c>
      <c r="K57" s="111" t="s">
        <v>149</v>
      </c>
      <c r="L57" s="114"/>
    </row>
    <row r="58" ht="15" customHeight="1" spans="1:12">
      <c r="A58" s="157"/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G61"/>
      <c r="H61"/>
    </row>
    <row r="62" ht="16.8" spans="7:8">
      <c r="G62"/>
      <c r="H62"/>
    </row>
  </sheetData>
  <mergeCells count="1">
    <mergeCell ref="B2:L2"/>
  </mergeCells>
  <pageMargins left="0.7" right="0.7" top="0.787401575" bottom="0.787401575" header="0.3" footer="0.3"/>
  <headerFooter/>
  <ignoredErrors>
    <ignoredError sqref="D18:G18" numberStoredAsText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B3:J63"/>
  <sheetViews>
    <sheetView zoomScale="85" zoomScaleNormal="85" workbookViewId="0">
      <selection activeCell="A1" sqref="A1"/>
    </sheetView>
  </sheetViews>
  <sheetFormatPr defaultColWidth="11.5" defaultRowHeight="16.8"/>
  <sheetData>
    <row r="3" spans="2:10">
      <c r="B3" t="s">
        <v>154</v>
      </c>
      <c r="C3" t="s">
        <v>155</v>
      </c>
      <c r="D3" t="s">
        <v>155</v>
      </c>
      <c r="E3" t="s">
        <v>58</v>
      </c>
      <c r="F3" t="s">
        <v>574</v>
      </c>
      <c r="G3" t="s">
        <v>157</v>
      </c>
      <c r="H3" t="s">
        <v>610</v>
      </c>
      <c r="I3" t="s">
        <v>67</v>
      </c>
      <c r="J3" t="s">
        <v>538</v>
      </c>
    </row>
    <row r="4" spans="3:9">
      <c r="C4" t="s">
        <v>59</v>
      </c>
      <c r="D4" t="s">
        <v>59</v>
      </c>
      <c r="E4" t="s">
        <v>59</v>
      </c>
      <c r="F4" t="s">
        <v>59</v>
      </c>
      <c r="G4" t="s">
        <v>59</v>
      </c>
      <c r="H4" t="s">
        <v>59</v>
      </c>
      <c r="I4" t="s">
        <v>59</v>
      </c>
    </row>
    <row r="5" spans="2:10">
      <c r="B5" t="s">
        <v>177</v>
      </c>
      <c r="C5">
        <v>0</v>
      </c>
      <c r="D5">
        <v>37.9541432320048</v>
      </c>
      <c r="E5">
        <v>21.2571249593278</v>
      </c>
      <c r="F5">
        <v>0</v>
      </c>
      <c r="G5">
        <v>31.2928855142435</v>
      </c>
      <c r="H5">
        <v>1.46320325828712</v>
      </c>
      <c r="I5">
        <v>8.03264303613681</v>
      </c>
      <c r="J5">
        <v>150.696766666667</v>
      </c>
    </row>
    <row r="6" spans="2:10">
      <c r="B6" t="s">
        <v>166</v>
      </c>
      <c r="C6">
        <v>0</v>
      </c>
      <c r="D6">
        <v>36.358972757647</v>
      </c>
      <c r="E6">
        <v>22.2263608909191</v>
      </c>
      <c r="F6">
        <v>0</v>
      </c>
      <c r="G6">
        <v>26.5988767603592</v>
      </c>
      <c r="H6">
        <v>0.37649493917644</v>
      </c>
      <c r="I6">
        <v>14.4392946518983</v>
      </c>
      <c r="J6">
        <v>144.627741935484</v>
      </c>
    </row>
    <row r="7" spans="2:10">
      <c r="B7" t="s">
        <v>167</v>
      </c>
      <c r="C7">
        <v>0</v>
      </c>
      <c r="D7">
        <v>35.5909595840715</v>
      </c>
      <c r="E7">
        <v>28.269676284394</v>
      </c>
      <c r="F7">
        <v>0</v>
      </c>
      <c r="G7">
        <v>26.2459891723138</v>
      </c>
      <c r="H7">
        <v>1.09164715453198</v>
      </c>
      <c r="I7">
        <v>8.8017278046887</v>
      </c>
      <c r="J7">
        <v>161.438</v>
      </c>
    </row>
    <row r="8" spans="2:10">
      <c r="B8" t="s">
        <v>168</v>
      </c>
      <c r="C8">
        <v>0.266674285931979</v>
      </c>
      <c r="D8">
        <v>33.855062525596</v>
      </c>
      <c r="E8">
        <v>30.4749659514081</v>
      </c>
      <c r="F8">
        <v>0</v>
      </c>
      <c r="G8">
        <v>28.565768545768</v>
      </c>
      <c r="H8">
        <v>0.171242987894892</v>
      </c>
      <c r="I8">
        <v>6.66628570340105</v>
      </c>
      <c r="J8">
        <v>169.35</v>
      </c>
    </row>
    <row r="9" spans="2:10">
      <c r="B9" t="s">
        <v>169</v>
      </c>
      <c r="C9">
        <v>0</v>
      </c>
      <c r="D9">
        <v>30.9627474044714</v>
      </c>
      <c r="E9">
        <v>31.5609222186915</v>
      </c>
      <c r="F9">
        <v>0.392465115760485</v>
      </c>
      <c r="G9">
        <v>30.518065102381</v>
      </c>
      <c r="H9">
        <v>0</v>
      </c>
      <c r="I9">
        <v>6.56580015869565</v>
      </c>
      <c r="J9">
        <v>173.592580645161</v>
      </c>
    </row>
    <row r="10" spans="2:10">
      <c r="B10" t="s">
        <v>170</v>
      </c>
      <c r="C10">
        <v>0</v>
      </c>
      <c r="D10">
        <v>34.9294844715978</v>
      </c>
      <c r="E10">
        <v>30.3017502098579</v>
      </c>
      <c r="F10">
        <v>0.241295917624918</v>
      </c>
      <c r="G10">
        <v>27.9964077097412</v>
      </c>
      <c r="H10">
        <v>0</v>
      </c>
      <c r="I10">
        <v>6.53106169117815</v>
      </c>
      <c r="J10">
        <v>164.439464285714</v>
      </c>
    </row>
    <row r="11" spans="2:10">
      <c r="B11" t="s">
        <v>171</v>
      </c>
      <c r="C11">
        <v>0</v>
      </c>
      <c r="D11">
        <v>36.6231996813496</v>
      </c>
      <c r="E11">
        <v>29.8261941012459</v>
      </c>
      <c r="F11">
        <v>0.789366905778515</v>
      </c>
      <c r="G11">
        <v>26.2519869115112</v>
      </c>
      <c r="H11">
        <v>0</v>
      </c>
      <c r="I11">
        <v>6.50925240011465</v>
      </c>
      <c r="J11">
        <v>173.311612903226</v>
      </c>
    </row>
    <row r="12" spans="2:10">
      <c r="B12" t="s">
        <v>172</v>
      </c>
      <c r="C12">
        <v>0</v>
      </c>
      <c r="D12">
        <v>36.6099744139638</v>
      </c>
      <c r="E12">
        <v>30.1875895304258</v>
      </c>
      <c r="F12">
        <v>2.5579825948712</v>
      </c>
      <c r="G12">
        <v>24.8998087257492</v>
      </c>
      <c r="H12">
        <v>0</v>
      </c>
      <c r="I12">
        <v>5.74464473498994</v>
      </c>
      <c r="J12">
        <v>161.025333333333</v>
      </c>
    </row>
    <row r="13" spans="2:10">
      <c r="B13" t="s">
        <v>173</v>
      </c>
      <c r="C13">
        <v>0</v>
      </c>
      <c r="D13">
        <v>35.9766273319774</v>
      </c>
      <c r="E13">
        <v>32.5510343517509</v>
      </c>
      <c r="F13">
        <v>5.32811048198983</v>
      </c>
      <c r="G13">
        <v>20.5491630781778</v>
      </c>
      <c r="H13">
        <v>0</v>
      </c>
      <c r="I13">
        <v>5.59506475610403</v>
      </c>
      <c r="J13">
        <v>134.322870967742</v>
      </c>
    </row>
    <row r="14" spans="2:10">
      <c r="B14" t="s">
        <v>174</v>
      </c>
      <c r="C14">
        <v>0</v>
      </c>
      <c r="D14">
        <v>40.088015470066</v>
      </c>
      <c r="E14">
        <v>29.0639094473493</v>
      </c>
      <c r="F14">
        <v>3.15519743138526</v>
      </c>
      <c r="G14">
        <v>23.7925237369527</v>
      </c>
      <c r="H14">
        <v>0.111983968610809</v>
      </c>
      <c r="I14">
        <v>3.78836994563585</v>
      </c>
      <c r="J14">
        <v>118.767</v>
      </c>
    </row>
    <row r="15" spans="2:10">
      <c r="B15" t="s">
        <v>175</v>
      </c>
      <c r="C15">
        <v>0</v>
      </c>
      <c r="D15">
        <v>39.1427336063852</v>
      </c>
      <c r="E15">
        <v>23.7760219117756</v>
      </c>
      <c r="F15">
        <v>0</v>
      </c>
      <c r="G15">
        <v>32.3205402756426</v>
      </c>
      <c r="H15">
        <v>0</v>
      </c>
      <c r="I15">
        <v>4.76070420619665</v>
      </c>
      <c r="J15">
        <v>129.740225806452</v>
      </c>
    </row>
    <row r="16" spans="2:10">
      <c r="B16" t="s">
        <v>176</v>
      </c>
      <c r="C16">
        <v>0</v>
      </c>
      <c r="D16">
        <v>37.8072943359165</v>
      </c>
      <c r="E16">
        <v>24.0180275261226</v>
      </c>
      <c r="F16">
        <v>0</v>
      </c>
      <c r="G16">
        <v>33.1218733153041</v>
      </c>
      <c r="H16">
        <v>0.105582193943087</v>
      </c>
      <c r="I16">
        <v>4.94722262871367</v>
      </c>
      <c r="J16">
        <v>152.762806451613</v>
      </c>
    </row>
    <row r="29" spans="2:4">
      <c r="B29" t="s">
        <v>104</v>
      </c>
      <c r="C29" t="s">
        <v>259</v>
      </c>
      <c r="D29" t="s">
        <v>178</v>
      </c>
    </row>
    <row r="30" spans="3:4">
      <c r="C30" t="s">
        <v>62</v>
      </c>
      <c r="D30" t="s">
        <v>62</v>
      </c>
    </row>
    <row r="32" spans="2:4">
      <c r="B32" t="s">
        <v>177</v>
      </c>
      <c r="C32">
        <v>0.358</v>
      </c>
      <c r="D32">
        <v>0.362</v>
      </c>
    </row>
    <row r="33" spans="2:4">
      <c r="B33" t="s">
        <v>166</v>
      </c>
      <c r="C33">
        <v>0.357</v>
      </c>
      <c r="D33">
        <v>0.298</v>
      </c>
    </row>
    <row r="34" spans="2:4">
      <c r="B34" t="s">
        <v>167</v>
      </c>
      <c r="C34">
        <v>0.296</v>
      </c>
      <c r="D34">
        <v>0.319</v>
      </c>
    </row>
    <row r="35" spans="2:4">
      <c r="B35" t="s">
        <v>168</v>
      </c>
      <c r="C35">
        <v>0.373</v>
      </c>
      <c r="D35">
        <v>0.326</v>
      </c>
    </row>
    <row r="36" spans="2:4">
      <c r="B36" t="s">
        <v>169</v>
      </c>
      <c r="C36">
        <v>0.339</v>
      </c>
      <c r="D36">
        <v>0.375</v>
      </c>
    </row>
    <row r="37" spans="2:4">
      <c r="B37" t="s">
        <v>170</v>
      </c>
      <c r="C37">
        <v>0.447</v>
      </c>
      <c r="D37">
        <v>0.502</v>
      </c>
    </row>
    <row r="38" spans="2:4">
      <c r="B38" t="s">
        <v>171</v>
      </c>
      <c r="C38">
        <v>1.318</v>
      </c>
      <c r="D38">
        <v>1.316</v>
      </c>
    </row>
    <row r="39" spans="2:4">
      <c r="B39" t="s">
        <v>172</v>
      </c>
      <c r="C39">
        <v>0.454</v>
      </c>
      <c r="D39">
        <v>0.632</v>
      </c>
    </row>
    <row r="40" spans="2:4">
      <c r="B40" t="s">
        <v>173</v>
      </c>
      <c r="C40">
        <v>0.36</v>
      </c>
      <c r="D40">
        <v>0.315</v>
      </c>
    </row>
    <row r="41" spans="2:4">
      <c r="B41" t="s">
        <v>174</v>
      </c>
      <c r="C41">
        <v>0.368</v>
      </c>
      <c r="D41">
        <v>0.33</v>
      </c>
    </row>
    <row r="42" spans="2:4">
      <c r="B42" t="s">
        <v>175</v>
      </c>
      <c r="C42">
        <v>0.411</v>
      </c>
      <c r="D42">
        <v>0.375</v>
      </c>
    </row>
    <row r="43" spans="2:4">
      <c r="B43" t="s">
        <v>176</v>
      </c>
      <c r="C43">
        <v>0.555</v>
      </c>
      <c r="D43">
        <v>0.339</v>
      </c>
    </row>
    <row r="50" spans="3:8"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184</v>
      </c>
    </row>
    <row r="51" spans="2:6">
      <c r="B51" t="s">
        <v>154</v>
      </c>
      <c r="C51" t="s">
        <v>185</v>
      </c>
      <c r="D51" t="s">
        <v>185</v>
      </c>
      <c r="E51" t="s">
        <v>122</v>
      </c>
      <c r="F51" t="s">
        <v>122</v>
      </c>
    </row>
    <row r="52" spans="2:8">
      <c r="B52" t="s">
        <v>177</v>
      </c>
      <c r="D52">
        <v>1369.10633333333</v>
      </c>
      <c r="E52" t="s">
        <v>611</v>
      </c>
      <c r="F52">
        <v>1803</v>
      </c>
      <c r="G52">
        <v>49.5155997588909</v>
      </c>
      <c r="H52">
        <v>16</v>
      </c>
    </row>
    <row r="53" spans="2:8">
      <c r="B53" t="s">
        <v>166</v>
      </c>
      <c r="D53">
        <v>1248.22637096774</v>
      </c>
      <c r="E53" t="s">
        <v>611</v>
      </c>
      <c r="F53">
        <v>1803</v>
      </c>
      <c r="G53">
        <v>45.1438108849093</v>
      </c>
      <c r="H53">
        <v>30</v>
      </c>
    </row>
    <row r="54" spans="2:8">
      <c r="B54" t="s">
        <v>167</v>
      </c>
      <c r="D54">
        <v>1306.30408333333</v>
      </c>
      <c r="E54" t="s">
        <v>611</v>
      </c>
      <c r="F54">
        <v>1803</v>
      </c>
      <c r="G54">
        <v>47.2442706449668</v>
      </c>
      <c r="H54">
        <v>30</v>
      </c>
    </row>
    <row r="55" spans="2:8">
      <c r="B55" t="s">
        <v>168</v>
      </c>
      <c r="D55">
        <v>1383.26532258065</v>
      </c>
      <c r="E55" t="s">
        <v>611</v>
      </c>
      <c r="F55">
        <v>1803</v>
      </c>
      <c r="G55">
        <v>50.0276789360089</v>
      </c>
      <c r="H55">
        <v>45.5</v>
      </c>
    </row>
    <row r="56" spans="2:8">
      <c r="B56" t="s">
        <v>169</v>
      </c>
      <c r="D56">
        <v>1228.80112903226</v>
      </c>
      <c r="E56" t="s">
        <v>611</v>
      </c>
      <c r="F56">
        <v>1803</v>
      </c>
      <c r="G56">
        <v>44.4412704894126</v>
      </c>
      <c r="H56">
        <v>28</v>
      </c>
    </row>
    <row r="57" spans="2:8">
      <c r="B57" t="s">
        <v>170</v>
      </c>
      <c r="D57">
        <v>1351.83241071429</v>
      </c>
      <c r="E57" t="s">
        <v>611</v>
      </c>
      <c r="F57">
        <v>1803</v>
      </c>
      <c r="G57">
        <v>48.890864763627</v>
      </c>
      <c r="H57">
        <v>16</v>
      </c>
    </row>
    <row r="58" spans="2:8">
      <c r="B58" t="s">
        <v>171</v>
      </c>
      <c r="D58">
        <v>1321.78701612903</v>
      </c>
      <c r="E58" t="s">
        <v>611</v>
      </c>
      <c r="F58">
        <v>1803</v>
      </c>
      <c r="G58">
        <v>47.8042320480663</v>
      </c>
      <c r="H58">
        <v>11</v>
      </c>
    </row>
    <row r="59" spans="2:8">
      <c r="B59" t="s">
        <v>172</v>
      </c>
      <c r="D59">
        <v>1139.64741666667</v>
      </c>
      <c r="E59" t="s">
        <v>611</v>
      </c>
      <c r="F59">
        <v>1803</v>
      </c>
      <c r="G59">
        <v>41.2169047619048</v>
      </c>
      <c r="H59">
        <v>7</v>
      </c>
    </row>
    <row r="60" spans="2:8">
      <c r="B60" t="s">
        <v>173</v>
      </c>
      <c r="D60">
        <v>847.397903225808</v>
      </c>
      <c r="E60" t="s">
        <v>611</v>
      </c>
      <c r="F60">
        <v>1803</v>
      </c>
      <c r="G60">
        <v>30.6473021058159</v>
      </c>
      <c r="H60">
        <v>8</v>
      </c>
    </row>
    <row r="61" spans="2:8">
      <c r="B61" t="s">
        <v>174</v>
      </c>
      <c r="D61">
        <v>987.51725</v>
      </c>
      <c r="E61" t="s">
        <v>611</v>
      </c>
      <c r="F61">
        <v>1803</v>
      </c>
      <c r="G61">
        <v>35.7149095840868</v>
      </c>
      <c r="H61">
        <v>8</v>
      </c>
    </row>
    <row r="62" spans="2:8">
      <c r="B62" t="s">
        <v>175</v>
      </c>
      <c r="D62">
        <v>939.196532258063</v>
      </c>
      <c r="E62" t="s">
        <v>611</v>
      </c>
      <c r="F62">
        <v>1803</v>
      </c>
      <c r="G62">
        <v>33.9673248556261</v>
      </c>
      <c r="H62">
        <v>6</v>
      </c>
    </row>
    <row r="63" spans="2:8">
      <c r="B63" t="s">
        <v>176</v>
      </c>
      <c r="D63">
        <v>1216.15258064516</v>
      </c>
      <c r="E63" t="s">
        <v>611</v>
      </c>
      <c r="F63">
        <v>1803</v>
      </c>
      <c r="G63">
        <v>43.9838184681795</v>
      </c>
      <c r="H63">
        <v>6</v>
      </c>
    </row>
  </sheetData>
  <pageMargins left="0.7" right="0.7" top="0.787401575" bottom="0.787401575" header="0.3" footer="0.3"/>
  <headerFooter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32.1634615384615" customWidth="1"/>
    <col min="10" max="10" width="13.836538461538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600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3">
      <c r="A3" s="1"/>
      <c r="B3" s="4" t="s">
        <v>2</v>
      </c>
      <c r="C3" s="5"/>
      <c r="D3" s="5"/>
      <c r="E3" s="5"/>
      <c r="F3" s="21">
        <v>2584</v>
      </c>
      <c r="G3" s="22"/>
      <c r="H3" s="23" t="s">
        <v>187</v>
      </c>
      <c r="I3" s="5" t="s">
        <v>612</v>
      </c>
      <c r="J3" s="35">
        <v>15489426</v>
      </c>
      <c r="K3" s="36" t="s">
        <v>189</v>
      </c>
      <c r="L3" s="751"/>
      <c r="M3" s="154"/>
    </row>
    <row r="4" ht="21.75" customHeight="1" spans="1:12">
      <c r="A4" s="1"/>
      <c r="B4" s="6" t="s">
        <v>190</v>
      </c>
      <c r="C4" s="7"/>
      <c r="D4" s="7"/>
      <c r="E4" s="7"/>
      <c r="F4" s="216">
        <v>2454.8</v>
      </c>
      <c r="G4" s="217"/>
      <c r="H4" s="25" t="s">
        <v>187</v>
      </c>
      <c r="I4" s="7" t="s">
        <v>613</v>
      </c>
      <c r="J4" s="37">
        <v>3581754.69528319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53.8712342706433</v>
      </c>
      <c r="H6" s="27" t="s">
        <v>195</v>
      </c>
      <c r="I6" s="1"/>
      <c r="J6" s="40">
        <v>1868269.51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3.83498110355532</v>
      </c>
      <c r="H7" s="27" t="s">
        <v>195</v>
      </c>
      <c r="I7" s="1"/>
      <c r="J7" s="40">
        <v>132998.22</v>
      </c>
      <c r="K7" s="41" t="s">
        <v>196</v>
      </c>
      <c r="L7" s="1"/>
    </row>
    <row r="8" ht="21.75" customHeight="1" spans="1:12">
      <c r="A8" s="1"/>
      <c r="B8" s="11"/>
      <c r="C8" s="1" t="s">
        <v>345</v>
      </c>
      <c r="D8" s="1"/>
      <c r="E8" s="1"/>
      <c r="F8" s="1"/>
      <c r="G8" s="26">
        <v>42.2937846258014</v>
      </c>
      <c r="H8" s="27" t="s">
        <v>195</v>
      </c>
      <c r="I8" s="1"/>
      <c r="J8" s="40">
        <v>1466760.31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3468028.04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56.8553773222845</v>
      </c>
      <c r="H11" s="27" t="s">
        <v>195</v>
      </c>
      <c r="I11" s="1"/>
      <c r="J11" s="40">
        <v>1795149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59.12</v>
      </c>
      <c r="F13" s="15" t="s">
        <v>204</v>
      </c>
      <c r="G13" s="31"/>
      <c r="H13" s="15"/>
      <c r="I13" s="15"/>
      <c r="J13" s="45">
        <v>968706.6216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32">
        <v>38.47</v>
      </c>
      <c r="F14" s="15" t="s">
        <v>204</v>
      </c>
      <c r="G14" s="31"/>
      <c r="H14" s="15"/>
      <c r="I14" s="15"/>
      <c r="J14" s="45">
        <v>619311.9879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65.4156336099879</v>
      </c>
      <c r="F15" s="15" t="s">
        <v>204</v>
      </c>
      <c r="G15" s="31"/>
      <c r="H15" s="15"/>
      <c r="I15" s="15"/>
      <c r="J15" s="45">
        <v>276649.2561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11.7337224878603</v>
      </c>
      <c r="H16" s="27" t="s">
        <v>195</v>
      </c>
      <c r="I16" s="1"/>
      <c r="J16" s="40">
        <v>370480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11.979740781775</v>
      </c>
      <c r="H17" s="27" t="s">
        <v>195</v>
      </c>
      <c r="I17" s="1"/>
      <c r="J17" s="40">
        <v>378247.77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5.45772653463902</v>
      </c>
      <c r="H18" s="27" t="s">
        <v>195</v>
      </c>
      <c r="I18" s="1"/>
      <c r="J18" s="40">
        <v>172322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13.9734328734412</v>
      </c>
      <c r="H19" s="27" t="s">
        <v>195</v>
      </c>
      <c r="I19" s="1"/>
      <c r="J19" s="40">
        <v>441196.51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34899.31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156456.69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10500.17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12555.07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35067.34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30122.24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4255.2</v>
      </c>
      <c r="K27" s="44" t="s">
        <v>196</v>
      </c>
      <c r="L27" s="15"/>
    </row>
    <row r="28" ht="21.75" customHeight="1" spans="1:14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12112.35</v>
      </c>
      <c r="K28" s="44" t="s">
        <v>196</v>
      </c>
      <c r="L28" s="15"/>
      <c r="N28" t="s">
        <v>77</v>
      </c>
    </row>
    <row r="29" ht="21.75" customHeight="1" spans="1:12">
      <c r="A29" s="15"/>
      <c r="B29" s="16"/>
      <c r="C29" s="15"/>
      <c r="D29" s="15" t="s">
        <v>614</v>
      </c>
      <c r="E29" s="15"/>
      <c r="F29" s="15"/>
      <c r="G29" s="31"/>
      <c r="H29" s="15"/>
      <c r="I29" s="15"/>
      <c r="J29" s="45">
        <v>41612.18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 t="s">
        <v>77</v>
      </c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103615.96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3157395.28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22.3896485253876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20.3841980974634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2.00545042792418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310632.76</v>
      </c>
      <c r="K37" s="43" t="s">
        <v>196</v>
      </c>
      <c r="L37" s="12"/>
    </row>
    <row r="38" ht="21.75" customHeight="1" spans="1:12">
      <c r="A38" s="1"/>
      <c r="B38" s="19" t="s">
        <v>615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616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21.75" customHeight="1" spans="1:12">
      <c r="A40" s="19"/>
      <c r="B40" s="19" t="s">
        <v>617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 spans="1:1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</row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499984740745262"/>
  </sheetPr>
  <dimension ref="B2:Q57"/>
  <sheetViews>
    <sheetView zoomScale="115" zoomScaleNormal="115" workbookViewId="0">
      <selection activeCell="A1" sqref="A1"/>
    </sheetView>
  </sheetViews>
  <sheetFormatPr defaultColWidth="11.5" defaultRowHeight="16.8"/>
  <cols>
    <col min="2" max="2" width="28.3365384615385" customWidth="1"/>
    <col min="8" max="8" width="15.5" customWidth="1"/>
    <col min="10" max="10" width="22.3365384615385" customWidth="1"/>
  </cols>
  <sheetData>
    <row r="2" ht="20.4" spans="2:12">
      <c r="B2" s="49" t="s">
        <v>618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56" t="s">
        <v>619</v>
      </c>
      <c r="D4" s="56"/>
      <c r="E4" s="96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55">
        <v>2008</v>
      </c>
      <c r="D5" s="55"/>
      <c r="E5" s="96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5" t="s">
        <v>368</v>
      </c>
      <c r="D6" s="55"/>
      <c r="E6" s="9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55" t="s">
        <v>620</v>
      </c>
      <c r="D7" s="55"/>
      <c r="E7" s="9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58" t="s">
        <v>11</v>
      </c>
      <c r="D8" s="58"/>
      <c r="E8" s="9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5" t="s">
        <v>13</v>
      </c>
      <c r="D9" s="55"/>
      <c r="E9" s="96"/>
      <c r="F9" s="56"/>
      <c r="G9" s="56"/>
      <c r="H9" s="56"/>
      <c r="I9" s="56"/>
      <c r="J9" s="56"/>
      <c r="K9" s="56"/>
      <c r="L9" s="114"/>
    </row>
    <row r="10" spans="2:17">
      <c r="B10" s="60" t="s">
        <v>232</v>
      </c>
      <c r="C10" s="55" t="s">
        <v>621</v>
      </c>
      <c r="D10" s="55"/>
      <c r="E10" s="96"/>
      <c r="F10" s="56"/>
      <c r="G10" s="56"/>
      <c r="H10" s="56"/>
      <c r="I10" s="56"/>
      <c r="J10" s="56"/>
      <c r="K10" s="56"/>
      <c r="L10" s="114"/>
      <c r="N10" s="749"/>
      <c r="O10" s="749"/>
      <c r="P10" s="750"/>
      <c r="Q10" s="749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728" t="s">
        <v>19</v>
      </c>
      <c r="C12" s="56"/>
      <c r="D12" s="534"/>
      <c r="E12" s="534"/>
      <c r="F12" s="534"/>
      <c r="G12" s="534"/>
      <c r="H12" s="736"/>
      <c r="I12" s="116" t="s">
        <v>20</v>
      </c>
      <c r="J12" s="117"/>
      <c r="K12" s="64"/>
      <c r="L12" s="114"/>
    </row>
    <row r="13" spans="2:12">
      <c r="B13" s="57" t="s">
        <v>233</v>
      </c>
      <c r="C13" s="56"/>
      <c r="D13" s="229" t="s">
        <v>22</v>
      </c>
      <c r="E13" s="229" t="s">
        <v>22</v>
      </c>
      <c r="F13" s="229" t="s">
        <v>23</v>
      </c>
      <c r="G13" s="70"/>
      <c r="H13" s="736" t="s">
        <v>24</v>
      </c>
      <c r="I13" s="64"/>
      <c r="J13" s="56"/>
      <c r="K13" s="56" t="s">
        <v>25</v>
      </c>
      <c r="L13" s="118"/>
    </row>
    <row r="14" spans="2:12">
      <c r="B14" s="57" t="s">
        <v>26</v>
      </c>
      <c r="C14" s="56"/>
      <c r="D14" s="729">
        <v>1</v>
      </c>
      <c r="E14" s="729">
        <v>1</v>
      </c>
      <c r="F14" s="729">
        <v>1</v>
      </c>
      <c r="G14" s="70"/>
      <c r="H14" s="56"/>
      <c r="I14" s="57" t="s">
        <v>248</v>
      </c>
      <c r="J14" s="64"/>
      <c r="K14" s="161">
        <v>6507.797</v>
      </c>
      <c r="L14" s="114" t="s">
        <v>28</v>
      </c>
    </row>
    <row r="15" spans="2:12">
      <c r="B15" s="57" t="s">
        <v>54</v>
      </c>
      <c r="C15" s="56" t="s">
        <v>55</v>
      </c>
      <c r="D15" s="71">
        <v>923</v>
      </c>
      <c r="E15" s="71">
        <v>923</v>
      </c>
      <c r="F15" s="71">
        <v>923</v>
      </c>
      <c r="G15" s="70"/>
      <c r="H15" s="587">
        <f>D15*2+E15</f>
        <v>2769</v>
      </c>
      <c r="I15" s="57" t="s">
        <v>249</v>
      </c>
      <c r="J15" s="64"/>
      <c r="K15" s="162">
        <f>K14/365</f>
        <v>17.8295808219178</v>
      </c>
      <c r="L15" s="114" t="s">
        <v>56</v>
      </c>
    </row>
    <row r="16" spans="2:12">
      <c r="B16" s="57" t="s">
        <v>234</v>
      </c>
      <c r="C16" s="56" t="s">
        <v>55</v>
      </c>
      <c r="D16" s="71">
        <v>846</v>
      </c>
      <c r="E16" s="71">
        <v>846</v>
      </c>
      <c r="F16" s="71">
        <v>846</v>
      </c>
      <c r="G16" s="70"/>
      <c r="H16" s="587">
        <f>D16*2+E16</f>
        <v>2538</v>
      </c>
      <c r="I16" s="56" t="s">
        <v>157</v>
      </c>
      <c r="J16" s="56"/>
      <c r="K16" s="163">
        <v>22.8</v>
      </c>
      <c r="L16" s="118" t="s">
        <v>59</v>
      </c>
    </row>
    <row r="17" spans="2:12"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/>
      <c r="H17" s="587"/>
      <c r="I17" s="56" t="s">
        <v>58</v>
      </c>
      <c r="J17" s="56"/>
      <c r="K17" s="164">
        <v>16.5</v>
      </c>
      <c r="L17" s="118" t="s">
        <v>59</v>
      </c>
    </row>
    <row r="18" spans="2:12">
      <c r="B18" s="57" t="s">
        <v>66</v>
      </c>
      <c r="C18" s="56" t="s">
        <v>55</v>
      </c>
      <c r="D18" s="71">
        <v>0</v>
      </c>
      <c r="E18" s="71">
        <v>0</v>
      </c>
      <c r="F18" s="71">
        <v>227</v>
      </c>
      <c r="G18" s="70"/>
      <c r="H18" s="587">
        <f>F18</f>
        <v>227</v>
      </c>
      <c r="I18" s="56" t="s">
        <v>574</v>
      </c>
      <c r="J18" s="56"/>
      <c r="K18" s="164">
        <v>4.7</v>
      </c>
      <c r="L18" s="118" t="s">
        <v>59</v>
      </c>
    </row>
    <row r="19" spans="2:12">
      <c r="B19" s="57"/>
      <c r="C19" s="56"/>
      <c r="D19" s="70"/>
      <c r="E19" s="70"/>
      <c r="F19" s="70"/>
      <c r="G19" s="130"/>
      <c r="H19" s="100"/>
      <c r="I19" s="56" t="s">
        <v>622</v>
      </c>
      <c r="J19" s="56"/>
      <c r="K19" s="164">
        <v>3.4</v>
      </c>
      <c r="L19" s="118" t="s">
        <v>59</v>
      </c>
    </row>
    <row r="20" ht="17.6" spans="2:12">
      <c r="B20" s="72" t="s">
        <v>69</v>
      </c>
      <c r="C20" s="73"/>
      <c r="D20" s="74"/>
      <c r="E20" s="74"/>
      <c r="F20" s="74"/>
      <c r="G20" s="70"/>
      <c r="H20" s="101"/>
      <c r="I20" s="56" t="s">
        <v>155</v>
      </c>
      <c r="J20" s="56"/>
      <c r="K20" s="164">
        <v>33</v>
      </c>
      <c r="L20" s="118" t="s">
        <v>59</v>
      </c>
    </row>
    <row r="21" spans="2:12">
      <c r="B21" s="57" t="s">
        <v>71</v>
      </c>
      <c r="C21" s="56" t="s">
        <v>59</v>
      </c>
      <c r="D21" s="299">
        <v>12.3716666666667</v>
      </c>
      <c r="E21" s="299">
        <v>10.2558333333333</v>
      </c>
      <c r="F21" s="299">
        <v>9.36</v>
      </c>
      <c r="G21" s="70"/>
      <c r="H21" s="100"/>
      <c r="I21" s="56" t="s">
        <v>155</v>
      </c>
      <c r="J21" s="56"/>
      <c r="K21" s="164">
        <v>8.9</v>
      </c>
      <c r="L21" s="118" t="s">
        <v>59</v>
      </c>
    </row>
    <row r="22" spans="2:12">
      <c r="B22" s="57" t="s">
        <v>73</v>
      </c>
      <c r="C22" s="56" t="s">
        <v>59</v>
      </c>
      <c r="D22" s="299">
        <v>74.3302289378668</v>
      </c>
      <c r="E22" s="299">
        <v>72.6483419885506</v>
      </c>
      <c r="F22" s="299">
        <v>71.3372630472091</v>
      </c>
      <c r="G22" s="70"/>
      <c r="H22" s="70"/>
      <c r="I22" s="57" t="s">
        <v>560</v>
      </c>
      <c r="J22" s="56"/>
      <c r="K22" s="164">
        <v>10.7</v>
      </c>
      <c r="L22" s="118" t="s">
        <v>59</v>
      </c>
    </row>
    <row r="23" ht="18" spans="2:12">
      <c r="B23" s="57" t="s">
        <v>74</v>
      </c>
      <c r="C23" s="76" t="s">
        <v>75</v>
      </c>
      <c r="D23" s="293"/>
      <c r="E23" s="293"/>
      <c r="F23" s="70"/>
      <c r="G23" s="70"/>
      <c r="H23" s="299" t="s">
        <v>623</v>
      </c>
      <c r="I23" s="125" t="s">
        <v>76</v>
      </c>
      <c r="J23" s="56"/>
      <c r="K23" s="165"/>
      <c r="L23" s="118"/>
    </row>
    <row r="24" ht="18" spans="2:12">
      <c r="B24" s="57" t="s">
        <v>78</v>
      </c>
      <c r="C24" s="56" t="s">
        <v>79</v>
      </c>
      <c r="D24" s="293"/>
      <c r="E24" s="293"/>
      <c r="F24" s="70"/>
      <c r="G24" s="70"/>
      <c r="H24" s="737" t="s">
        <v>624</v>
      </c>
      <c r="I24" s="127" t="s">
        <v>80</v>
      </c>
      <c r="J24" s="56"/>
      <c r="K24" s="163">
        <v>28.7150249982666</v>
      </c>
      <c r="L24" s="118" t="s">
        <v>59</v>
      </c>
    </row>
    <row r="25" ht="18" spans="2:12">
      <c r="B25" s="57" t="s">
        <v>81</v>
      </c>
      <c r="C25" s="56" t="s">
        <v>59</v>
      </c>
      <c r="D25" s="293"/>
      <c r="E25" s="299"/>
      <c r="F25" s="293"/>
      <c r="G25" s="70"/>
      <c r="H25" s="293" t="s">
        <v>625</v>
      </c>
      <c r="I25" s="128" t="s">
        <v>83</v>
      </c>
      <c r="J25" s="56"/>
      <c r="K25" s="163">
        <v>89.4245999174166</v>
      </c>
      <c r="L25" s="118" t="s">
        <v>59</v>
      </c>
    </row>
    <row r="26" ht="18" spans="2:12">
      <c r="B26" s="57" t="s">
        <v>84</v>
      </c>
      <c r="C26" s="56" t="s">
        <v>59</v>
      </c>
      <c r="D26" s="70"/>
      <c r="E26" s="70"/>
      <c r="F26" s="70"/>
      <c r="G26" s="70"/>
      <c r="H26" s="70" t="s">
        <v>626</v>
      </c>
      <c r="I26" s="57" t="s">
        <v>86</v>
      </c>
      <c r="J26" s="56"/>
      <c r="K26" s="163">
        <v>73.2273342099339</v>
      </c>
      <c r="L26" s="118" t="s">
        <v>59</v>
      </c>
    </row>
    <row r="27" ht="18" spans="2:12">
      <c r="B27" s="57" t="s">
        <v>87</v>
      </c>
      <c r="C27" s="56" t="s">
        <v>88</v>
      </c>
      <c r="D27" s="70"/>
      <c r="E27" s="70"/>
      <c r="F27" s="70"/>
      <c r="G27" s="70"/>
      <c r="H27" s="299" t="s">
        <v>627</v>
      </c>
      <c r="I27" s="129"/>
      <c r="J27" s="130"/>
      <c r="K27" s="130"/>
      <c r="L27" s="167"/>
    </row>
    <row r="28" ht="18" spans="2:12">
      <c r="B28" s="57" t="s">
        <v>90</v>
      </c>
      <c r="C28" s="56" t="s">
        <v>91</v>
      </c>
      <c r="D28" s="70"/>
      <c r="E28" s="70"/>
      <c r="F28" s="70"/>
      <c r="G28" s="70"/>
      <c r="H28" s="299" t="s">
        <v>628</v>
      </c>
      <c r="I28" s="728" t="s">
        <v>93</v>
      </c>
      <c r="J28" s="740"/>
      <c r="K28" s="56"/>
      <c r="L28" s="118"/>
    </row>
    <row r="29" spans="2:12">
      <c r="B29" s="57" t="s">
        <v>32</v>
      </c>
      <c r="C29" s="56" t="s">
        <v>62</v>
      </c>
      <c r="D29" s="299">
        <v>7.93583333333333</v>
      </c>
      <c r="E29" s="299">
        <v>7.86666666666667</v>
      </c>
      <c r="F29" s="301">
        <v>8.01666666666667</v>
      </c>
      <c r="G29" s="70"/>
      <c r="H29" s="70"/>
      <c r="I29" s="57" t="s">
        <v>26</v>
      </c>
      <c r="J29" s="56"/>
      <c r="K29" s="56"/>
      <c r="L29" s="118"/>
    </row>
    <row r="30" spans="2:12">
      <c r="B30" s="57" t="s">
        <v>94</v>
      </c>
      <c r="C30" s="56" t="s">
        <v>95</v>
      </c>
      <c r="D30" s="293">
        <v>44.7931777153894</v>
      </c>
      <c r="E30" s="293">
        <v>41.7542455142933</v>
      </c>
      <c r="F30" s="293">
        <v>33.3134197214608</v>
      </c>
      <c r="G30" s="70"/>
      <c r="H30" s="70"/>
      <c r="I30" s="57" t="s">
        <v>96</v>
      </c>
      <c r="J30" s="589"/>
      <c r="K30" s="589">
        <v>0</v>
      </c>
      <c r="L30" s="118" t="s">
        <v>55</v>
      </c>
    </row>
    <row r="31" ht="18" spans="2:12">
      <c r="B31" s="57" t="s">
        <v>484</v>
      </c>
      <c r="C31" s="56" t="s">
        <v>98</v>
      </c>
      <c r="D31" s="299">
        <v>4.433751</v>
      </c>
      <c r="E31" s="299">
        <v>4.34625570833333</v>
      </c>
      <c r="F31" s="299">
        <v>4.31932259722222</v>
      </c>
      <c r="G31" s="70"/>
      <c r="H31" s="70"/>
      <c r="I31" s="57" t="s">
        <v>99</v>
      </c>
      <c r="J31" s="589"/>
      <c r="K31" s="741">
        <v>0</v>
      </c>
      <c r="L31" s="118" t="s">
        <v>55</v>
      </c>
    </row>
    <row r="32" ht="18" spans="2:12">
      <c r="B32" s="57" t="s">
        <v>485</v>
      </c>
      <c r="C32" s="56" t="s">
        <v>98</v>
      </c>
      <c r="D32" s="299">
        <v>6.44708333333333</v>
      </c>
      <c r="E32" s="299">
        <v>5.97625</v>
      </c>
      <c r="F32" s="299">
        <v>5.46013888888889</v>
      </c>
      <c r="G32" s="70"/>
      <c r="H32" s="70"/>
      <c r="I32" s="57" t="s">
        <v>66</v>
      </c>
      <c r="J32" s="589"/>
      <c r="K32" s="589">
        <v>0</v>
      </c>
      <c r="L32" s="118" t="s">
        <v>55</v>
      </c>
    </row>
    <row r="33" spans="2:12">
      <c r="B33" s="57" t="s">
        <v>101</v>
      </c>
      <c r="C33" s="56" t="s">
        <v>102</v>
      </c>
      <c r="D33" s="293">
        <v>868.666666666667</v>
      </c>
      <c r="E33" s="293">
        <v>256.75</v>
      </c>
      <c r="F33" s="293">
        <v>122.833333333333</v>
      </c>
      <c r="G33" s="70"/>
      <c r="H33" s="70"/>
      <c r="I33" s="57" t="s">
        <v>103</v>
      </c>
      <c r="J33" s="56"/>
      <c r="K33" s="163">
        <v>5.4</v>
      </c>
      <c r="L33" s="118" t="s">
        <v>59</v>
      </c>
    </row>
    <row r="34" spans="2:12">
      <c r="B34" s="57" t="s">
        <v>104</v>
      </c>
      <c r="C34" s="56" t="s">
        <v>62</v>
      </c>
      <c r="D34" s="301">
        <v>0.269404771497932</v>
      </c>
      <c r="E34" s="301">
        <v>0.222568343737553</v>
      </c>
      <c r="F34" s="301">
        <v>0.206402853986388</v>
      </c>
      <c r="G34" s="70"/>
      <c r="H34" s="70"/>
      <c r="I34" s="57" t="s">
        <v>105</v>
      </c>
      <c r="J34" s="56"/>
      <c r="K34" s="163">
        <v>8.57</v>
      </c>
      <c r="L34" s="118" t="s">
        <v>59</v>
      </c>
    </row>
    <row r="35" spans="2:12">
      <c r="B35" s="57"/>
      <c r="C35" s="56"/>
      <c r="D35" s="70"/>
      <c r="E35" s="70"/>
      <c r="F35" s="70"/>
      <c r="G35" s="70"/>
      <c r="H35" s="70"/>
      <c r="I35" s="57" t="s">
        <v>106</v>
      </c>
      <c r="J35" s="56"/>
      <c r="K35" s="163">
        <v>70.2387383396482</v>
      </c>
      <c r="L35" s="118" t="s">
        <v>59</v>
      </c>
    </row>
    <row r="36" spans="2:12">
      <c r="B36" s="730"/>
      <c r="C36" s="56"/>
      <c r="D36" s="56"/>
      <c r="E36" s="301"/>
      <c r="F36" s="70"/>
      <c r="G36" s="70"/>
      <c r="H36" s="70"/>
      <c r="I36" s="129"/>
      <c r="J36" s="70"/>
      <c r="K36" s="70"/>
      <c r="L36" s="167"/>
    </row>
    <row r="37" ht="17.6" spans="2:12">
      <c r="B37" s="731" t="s">
        <v>107</v>
      </c>
      <c r="C37" s="73"/>
      <c r="D37" s="74"/>
      <c r="E37" s="74"/>
      <c r="F37" s="74"/>
      <c r="G37" s="74"/>
      <c r="H37" s="101"/>
      <c r="I37" s="742" t="s">
        <v>108</v>
      </c>
      <c r="J37" s="73"/>
      <c r="K37" s="73"/>
      <c r="L37" s="743"/>
    </row>
    <row r="38" spans="2:12">
      <c r="B38" s="732"/>
      <c r="C38" s="70"/>
      <c r="D38" s="70"/>
      <c r="E38" s="56"/>
      <c r="F38" s="70"/>
      <c r="G38" s="70"/>
      <c r="H38" s="100"/>
      <c r="I38" s="57"/>
      <c r="J38" s="56" t="s">
        <v>109</v>
      </c>
      <c r="K38" s="70" t="s">
        <v>300</v>
      </c>
      <c r="L38" s="118"/>
    </row>
    <row r="39" spans="2:12">
      <c r="B39" s="85" t="s">
        <v>111</v>
      </c>
      <c r="C39" s="56" t="s">
        <v>59</v>
      </c>
      <c r="D39" s="70">
        <v>50</v>
      </c>
      <c r="E39" s="70"/>
      <c r="F39" s="70"/>
      <c r="G39" s="70"/>
      <c r="H39" s="100"/>
      <c r="I39" s="125" t="s">
        <v>112</v>
      </c>
      <c r="J39" s="56"/>
      <c r="K39" s="56"/>
      <c r="L39" s="118"/>
    </row>
    <row r="40" ht="18" spans="2:12">
      <c r="B40" s="732"/>
      <c r="C40" s="70"/>
      <c r="D40" s="70"/>
      <c r="E40" s="56"/>
      <c r="F40" s="70"/>
      <c r="G40" s="70"/>
      <c r="H40" s="100"/>
      <c r="I40" s="57"/>
      <c r="J40" s="56" t="s">
        <v>113</v>
      </c>
      <c r="K40" s="744" t="s">
        <v>492</v>
      </c>
      <c r="L40" s="173">
        <v>51.4352271505376</v>
      </c>
    </row>
    <row r="41" ht="18" spans="2:12">
      <c r="B41" s="733"/>
      <c r="C41" s="293"/>
      <c r="D41" s="229" t="s">
        <v>115</v>
      </c>
      <c r="E41" s="229"/>
      <c r="F41" s="229"/>
      <c r="G41" s="229"/>
      <c r="H41" s="229"/>
      <c r="I41" s="57"/>
      <c r="J41" s="56" t="s">
        <v>113</v>
      </c>
      <c r="K41" s="70" t="s">
        <v>493</v>
      </c>
      <c r="L41" s="173">
        <v>46.1053264208909</v>
      </c>
    </row>
    <row r="42" ht="18" spans="2:12">
      <c r="B42" s="57" t="s">
        <v>118</v>
      </c>
      <c r="C42" s="56"/>
      <c r="D42" s="70" t="s">
        <v>119</v>
      </c>
      <c r="E42" s="70"/>
      <c r="F42" s="70"/>
      <c r="G42" s="70"/>
      <c r="H42" s="100"/>
      <c r="I42" s="57"/>
      <c r="J42" s="56" t="s">
        <v>113</v>
      </c>
      <c r="K42" s="70" t="s">
        <v>494</v>
      </c>
      <c r="L42" s="303" t="s">
        <v>117</v>
      </c>
    </row>
    <row r="43" ht="18" spans="2:12">
      <c r="B43" s="57" t="s">
        <v>121</v>
      </c>
      <c r="C43" s="56" t="s">
        <v>122</v>
      </c>
      <c r="D43" s="293">
        <v>355</v>
      </c>
      <c r="E43" s="293"/>
      <c r="F43" s="293"/>
      <c r="G43" s="70"/>
      <c r="H43" s="100"/>
      <c r="I43" s="57"/>
      <c r="J43" s="56" t="s">
        <v>123</v>
      </c>
      <c r="K43" s="744" t="s">
        <v>495</v>
      </c>
      <c r="L43" s="188">
        <v>60.2274672939068</v>
      </c>
    </row>
    <row r="44" spans="2:12">
      <c r="B44" s="57" t="s">
        <v>125</v>
      </c>
      <c r="C44" s="56" t="s">
        <v>122</v>
      </c>
      <c r="D44" s="293">
        <v>386</v>
      </c>
      <c r="E44" s="293"/>
      <c r="F44" s="293"/>
      <c r="G44" s="70"/>
      <c r="H44" s="100"/>
      <c r="I44" s="125" t="s">
        <v>126</v>
      </c>
      <c r="J44" s="56"/>
      <c r="K44" s="56"/>
      <c r="L44" s="118"/>
    </row>
    <row r="45" spans="2:12">
      <c r="B45" s="57" t="s">
        <v>127</v>
      </c>
      <c r="C45" s="56" t="s">
        <v>59</v>
      </c>
      <c r="D45" s="70">
        <v>42.5</v>
      </c>
      <c r="E45" s="70"/>
      <c r="F45" s="299"/>
      <c r="G45" s="70"/>
      <c r="H45" s="100"/>
      <c r="I45" s="56"/>
      <c r="J45" s="56"/>
      <c r="K45" s="70" t="s">
        <v>128</v>
      </c>
      <c r="L45" s="100" t="s">
        <v>129</v>
      </c>
    </row>
    <row r="46" spans="2:12">
      <c r="B46" s="57" t="s">
        <v>130</v>
      </c>
      <c r="C46" s="56" t="s">
        <v>59</v>
      </c>
      <c r="D46" s="70">
        <v>42.5</v>
      </c>
      <c r="E46" s="70"/>
      <c r="F46" s="70"/>
      <c r="G46" s="70"/>
      <c r="H46" s="100"/>
      <c r="I46" s="57"/>
      <c r="J46" s="56" t="s">
        <v>131</v>
      </c>
      <c r="K46" s="293">
        <v>138.04167179622</v>
      </c>
      <c r="L46" s="188">
        <f>K46*L40/100</f>
        <v>71.0020474507854</v>
      </c>
    </row>
    <row r="47" spans="2:12">
      <c r="B47" s="57" t="s">
        <v>132</v>
      </c>
      <c r="C47" s="56" t="s">
        <v>62</v>
      </c>
      <c r="D47" s="293" t="s">
        <v>133</v>
      </c>
      <c r="E47" s="293"/>
      <c r="F47" s="293"/>
      <c r="G47" s="70"/>
      <c r="H47" s="100"/>
      <c r="I47" s="57"/>
      <c r="J47" s="56" t="s">
        <v>134</v>
      </c>
      <c r="K47" s="293">
        <f>K46*100/K24/K25*100</f>
        <v>537.581117566284</v>
      </c>
      <c r="L47" s="188">
        <f>K47*L40/100</f>
        <v>276.506068938617</v>
      </c>
    </row>
    <row r="48" spans="2:12">
      <c r="B48" s="57" t="s">
        <v>135</v>
      </c>
      <c r="C48" s="56" t="s">
        <v>240</v>
      </c>
      <c r="D48" s="71">
        <v>7898</v>
      </c>
      <c r="E48" s="71"/>
      <c r="F48" s="71"/>
      <c r="G48" s="70" t="s">
        <v>77</v>
      </c>
      <c r="H48" s="100"/>
      <c r="I48" s="125" t="s">
        <v>137</v>
      </c>
      <c r="J48" s="56"/>
      <c r="K48" s="56"/>
      <c r="L48" s="118"/>
    </row>
    <row r="49" spans="2:12">
      <c r="B49" s="57" t="s">
        <v>138</v>
      </c>
      <c r="C49" s="56" t="s">
        <v>240</v>
      </c>
      <c r="D49" s="71">
        <f>365*24*D50/100</f>
        <v>5112.90704225352</v>
      </c>
      <c r="E49" s="71"/>
      <c r="F49" s="71"/>
      <c r="G49" s="70"/>
      <c r="H49" s="100"/>
      <c r="I49" s="57"/>
      <c r="J49" s="56" t="s">
        <v>139</v>
      </c>
      <c r="K49" s="71">
        <v>4972.82739726027</v>
      </c>
      <c r="L49" s="587"/>
    </row>
    <row r="50" spans="2:12">
      <c r="B50" s="57" t="s">
        <v>140</v>
      </c>
      <c r="C50" s="56" t="s">
        <v>59</v>
      </c>
      <c r="D50" s="293">
        <f>K49/24/D43*100</f>
        <v>58.3665187471863</v>
      </c>
      <c r="E50" s="299"/>
      <c r="F50" s="299"/>
      <c r="G50" s="70"/>
      <c r="H50" s="100"/>
      <c r="I50" s="57"/>
      <c r="J50" s="56" t="s">
        <v>141</v>
      </c>
      <c r="K50" s="293">
        <f>K49/K15</f>
        <v>278.908822755227</v>
      </c>
      <c r="L50" s="118"/>
    </row>
    <row r="51" spans="2:12">
      <c r="B51" s="57"/>
      <c r="C51" s="56"/>
      <c r="D51" s="70"/>
      <c r="E51" s="70"/>
      <c r="F51" s="70"/>
      <c r="G51" s="70"/>
      <c r="H51" s="100"/>
      <c r="I51" s="534"/>
      <c r="J51" s="56"/>
      <c r="K51" s="70"/>
      <c r="L51" s="118"/>
    </row>
    <row r="52" spans="2:12">
      <c r="B52" s="88" t="s">
        <v>142</v>
      </c>
      <c r="C52" s="734"/>
      <c r="D52" s="734"/>
      <c r="E52" s="170"/>
      <c r="F52" s="130"/>
      <c r="G52" s="130"/>
      <c r="H52" s="167"/>
      <c r="I52" s="745"/>
      <c r="J52" s="745"/>
      <c r="K52" s="745"/>
      <c r="L52" s="746"/>
    </row>
    <row r="53" ht="17.6" spans="2:12">
      <c r="B53" s="735" t="s">
        <v>143</v>
      </c>
      <c r="C53" s="70"/>
      <c r="D53" s="56"/>
      <c r="E53" s="56"/>
      <c r="F53" s="56"/>
      <c r="G53" s="738" t="s">
        <v>144</v>
      </c>
      <c r="H53" s="56"/>
      <c r="I53" s="74"/>
      <c r="J53" s="73"/>
      <c r="K53" s="73"/>
      <c r="L53" s="743"/>
    </row>
    <row r="54" spans="2:12">
      <c r="B54" s="57"/>
      <c r="C54" s="55" t="s">
        <v>145</v>
      </c>
      <c r="D54" s="589"/>
      <c r="E54" s="589"/>
      <c r="F54" s="56"/>
      <c r="G54" s="56"/>
      <c r="H54" s="56"/>
      <c r="I54" s="70" t="s">
        <v>145</v>
      </c>
      <c r="J54" s="56"/>
      <c r="K54" s="56"/>
      <c r="L54" s="118"/>
    </row>
    <row r="55" spans="2:12">
      <c r="B55" s="57" t="s">
        <v>146</v>
      </c>
      <c r="C55" s="585">
        <v>238816</v>
      </c>
      <c r="D55" s="71">
        <f>C55/365/K49*100</f>
        <v>13.1573119010601</v>
      </c>
      <c r="E55" s="739" t="s">
        <v>147</v>
      </c>
      <c r="F55" s="56"/>
      <c r="G55" s="56" t="s">
        <v>148</v>
      </c>
      <c r="H55" s="56"/>
      <c r="I55" s="71">
        <v>602454.442694984</v>
      </c>
      <c r="J55" s="71">
        <f>I55/C55*D55</f>
        <v>33.1915826775311</v>
      </c>
      <c r="K55" s="739" t="s">
        <v>149</v>
      </c>
      <c r="L55" s="118"/>
    </row>
    <row r="56" spans="2:12">
      <c r="B56" s="730"/>
      <c r="C56" s="62"/>
      <c r="D56" s="734"/>
      <c r="E56" s="62"/>
      <c r="F56" s="62"/>
      <c r="G56" s="62"/>
      <c r="H56" s="62"/>
      <c r="I56" s="734"/>
      <c r="J56" s="734"/>
      <c r="K56" s="747"/>
      <c r="L56" s="748"/>
    </row>
    <row r="57" spans="2:8">
      <c r="B57" s="204"/>
      <c r="C57" s="204"/>
      <c r="D57" s="204"/>
      <c r="E57" s="204"/>
      <c r="F57" s="204"/>
      <c r="G57" s="204"/>
      <c r="H57" s="204"/>
    </row>
  </sheetData>
  <mergeCells count="1">
    <mergeCell ref="B2:L2"/>
  </mergeCells>
  <pageMargins left="0.7" right="0.7" top="0.787401575" bottom="0.7874015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499984740745262"/>
  </sheetPr>
  <dimension ref="B2:K61"/>
  <sheetViews>
    <sheetView zoomScale="85" zoomScaleNormal="85" workbookViewId="0">
      <selection activeCell="A1" sqref="A1"/>
    </sheetView>
  </sheetViews>
  <sheetFormatPr defaultColWidth="11.5" defaultRowHeight="16.8"/>
  <sheetData>
    <row r="2" spans="2:11">
      <c r="B2" t="s">
        <v>154</v>
      </c>
      <c r="C2" t="s">
        <v>155</v>
      </c>
      <c r="D2" t="s">
        <v>155</v>
      </c>
      <c r="E2" t="s">
        <v>58</v>
      </c>
      <c r="F2" t="s">
        <v>157</v>
      </c>
      <c r="G2" t="s">
        <v>158</v>
      </c>
      <c r="H2" t="s">
        <v>560</v>
      </c>
      <c r="I2" t="s">
        <v>574</v>
      </c>
      <c r="K2" t="s">
        <v>538</v>
      </c>
    </row>
    <row r="3" spans="3:7">
      <c r="C3" t="s">
        <v>59</v>
      </c>
      <c r="D3" t="s">
        <v>59</v>
      </c>
      <c r="E3" t="s">
        <v>59</v>
      </c>
      <c r="F3" t="s">
        <v>59</v>
      </c>
      <c r="G3" t="s">
        <v>59</v>
      </c>
    </row>
    <row r="4" spans="2:11">
      <c r="B4" t="s">
        <v>177</v>
      </c>
      <c r="C4">
        <v>6.62880361459607</v>
      </c>
      <c r="D4">
        <v>31.3764821782531</v>
      </c>
      <c r="E4">
        <v>14.8751943597109</v>
      </c>
      <c r="F4">
        <v>31.5325634117103</v>
      </c>
      <c r="G4">
        <v>6.62900143618473</v>
      </c>
      <c r="H4">
        <v>8.75162708256677</v>
      </c>
      <c r="I4">
        <v>0.206327916978236</v>
      </c>
      <c r="J4">
        <f>SUM(C4:I4)</f>
        <v>100</v>
      </c>
      <c r="K4">
        <v>16.6401333333333</v>
      </c>
    </row>
    <row r="5" spans="2:11">
      <c r="B5" t="s">
        <v>166</v>
      </c>
      <c r="C5">
        <v>9.09537244242681</v>
      </c>
      <c r="D5">
        <v>27.8468177759119</v>
      </c>
      <c r="E5">
        <v>13.9184280464072</v>
      </c>
      <c r="F5">
        <v>28.0883885910267</v>
      </c>
      <c r="G5">
        <v>7.96916859081319</v>
      </c>
      <c r="H5">
        <v>9.96363985669407</v>
      </c>
      <c r="I5">
        <v>3.11818469672012</v>
      </c>
      <c r="J5">
        <f t="shared" ref="J5:J15" si="0">SUM(C5:I5)</f>
        <v>100</v>
      </c>
      <c r="K5">
        <v>18.1528064516129</v>
      </c>
    </row>
    <row r="6" spans="2:11">
      <c r="B6" t="s">
        <v>167</v>
      </c>
      <c r="C6">
        <v>12.7297953520638</v>
      </c>
      <c r="D6">
        <v>23.7679005004707</v>
      </c>
      <c r="E6">
        <v>13.5460746907157</v>
      </c>
      <c r="F6">
        <v>34.6735378160977</v>
      </c>
      <c r="G6">
        <v>3.64649918239929</v>
      </c>
      <c r="H6">
        <v>9.04596732900583</v>
      </c>
      <c r="I6">
        <v>2.47328345143121</v>
      </c>
      <c r="J6">
        <f t="shared" si="0"/>
        <v>99.8830583221842</v>
      </c>
      <c r="K6">
        <v>19.8471666666667</v>
      </c>
    </row>
    <row r="7" spans="2:11">
      <c r="B7" t="s">
        <v>168</v>
      </c>
      <c r="C7">
        <v>8.65611875329445</v>
      </c>
      <c r="D7">
        <v>33.2439934706092</v>
      </c>
      <c r="E7">
        <v>16.5368723538114</v>
      </c>
      <c r="F7">
        <v>29.6390131097924</v>
      </c>
      <c r="G7">
        <v>0.0439968713335941</v>
      </c>
      <c r="H7">
        <v>10.9012344629406</v>
      </c>
      <c r="I7">
        <v>0.97877097821836</v>
      </c>
      <c r="J7">
        <f t="shared" si="0"/>
        <v>100</v>
      </c>
      <c r="K7">
        <v>15.672064516129</v>
      </c>
    </row>
    <row r="8" spans="2:11">
      <c r="B8" t="s">
        <v>169</v>
      </c>
      <c r="C8">
        <v>2.62198621296634</v>
      </c>
      <c r="D8">
        <v>40.4190550505955</v>
      </c>
      <c r="E8">
        <v>19.8061014088724</v>
      </c>
      <c r="F8">
        <v>23.9787319467663</v>
      </c>
      <c r="G8">
        <v>0.0396961317820841</v>
      </c>
      <c r="H8">
        <v>13.1044870239016</v>
      </c>
      <c r="I8">
        <v>0.0299422251156292</v>
      </c>
      <c r="J8">
        <f t="shared" si="0"/>
        <v>100</v>
      </c>
      <c r="K8">
        <v>11.3007741935484</v>
      </c>
    </row>
    <row r="9" spans="2:11">
      <c r="B9" t="s">
        <v>170</v>
      </c>
      <c r="C9">
        <v>4.9054109453378</v>
      </c>
      <c r="D9">
        <v>39.4805087126953</v>
      </c>
      <c r="E9">
        <v>19.2745639046141</v>
      </c>
      <c r="F9">
        <v>23.8632961303012</v>
      </c>
      <c r="G9">
        <v>0.0352377048047647</v>
      </c>
      <c r="H9">
        <v>12.3873199537534</v>
      </c>
      <c r="I9">
        <v>0.0536626484935305</v>
      </c>
      <c r="J9">
        <f t="shared" si="0"/>
        <v>100</v>
      </c>
      <c r="K9">
        <v>18.27125</v>
      </c>
    </row>
    <row r="10" spans="2:11">
      <c r="B10" t="s">
        <v>171</v>
      </c>
      <c r="C10">
        <v>9.27247265937584</v>
      </c>
      <c r="D10">
        <v>37.9755434782609</v>
      </c>
      <c r="E10">
        <v>19.9940817551347</v>
      </c>
      <c r="F10">
        <v>25.1869248466258</v>
      </c>
      <c r="G10">
        <v>0.0364680581488397</v>
      </c>
      <c r="H10">
        <v>7.50866897839424</v>
      </c>
      <c r="I10">
        <v>0.0258402240597493</v>
      </c>
      <c r="J10">
        <f t="shared" si="0"/>
        <v>100</v>
      </c>
      <c r="K10">
        <v>12.4106129032258</v>
      </c>
    </row>
    <row r="11" spans="2:11">
      <c r="B11" t="s">
        <v>172</v>
      </c>
      <c r="C11">
        <v>7.69057926238138</v>
      </c>
      <c r="D11">
        <v>33.1462679643458</v>
      </c>
      <c r="E11">
        <v>32.4486234658616</v>
      </c>
      <c r="F11">
        <v>18.1338643887819</v>
      </c>
      <c r="G11">
        <v>1.10064745033587</v>
      </c>
      <c r="H11">
        <v>7.44105810019625</v>
      </c>
      <c r="I11">
        <v>0.0389593680971701</v>
      </c>
      <c r="J11">
        <f t="shared" si="0"/>
        <v>100</v>
      </c>
      <c r="K11">
        <v>12.4722333333333</v>
      </c>
    </row>
    <row r="12" spans="2:11">
      <c r="B12" t="s">
        <v>173</v>
      </c>
      <c r="C12">
        <v>14.6249992605869</v>
      </c>
      <c r="D12">
        <v>23.7400893999712</v>
      </c>
      <c r="E12">
        <v>20.4531517729154</v>
      </c>
      <c r="F12">
        <v>7.56567467007388</v>
      </c>
      <c r="G12">
        <v>8.74696101222694</v>
      </c>
      <c r="H12">
        <v>12.6985817071175</v>
      </c>
      <c r="I12">
        <v>12.1705421771082</v>
      </c>
      <c r="J12">
        <f t="shared" si="0"/>
        <v>100</v>
      </c>
      <c r="K12">
        <v>13.1975806451613</v>
      </c>
    </row>
    <row r="13" spans="2:11">
      <c r="B13" t="s">
        <v>174</v>
      </c>
      <c r="C13">
        <v>11.7389646413393</v>
      </c>
      <c r="D13">
        <v>33.5965705358845</v>
      </c>
      <c r="E13">
        <v>9.74377425564761</v>
      </c>
      <c r="F13">
        <v>16.7167924423861</v>
      </c>
      <c r="G13">
        <v>9.04908635779348</v>
      </c>
      <c r="H13">
        <v>9.59124428781421</v>
      </c>
      <c r="I13">
        <v>9.56356747913476</v>
      </c>
      <c r="J13">
        <f t="shared" si="0"/>
        <v>100</v>
      </c>
      <c r="K13">
        <v>12.9496333333333</v>
      </c>
    </row>
    <row r="14" spans="2:11">
      <c r="B14" t="s">
        <v>175</v>
      </c>
      <c r="C14">
        <v>10.2796787974776</v>
      </c>
      <c r="D14">
        <v>33.4147638612097</v>
      </c>
      <c r="E14">
        <v>14.3898262490722</v>
      </c>
      <c r="F14">
        <v>16.8194463113724</v>
      </c>
      <c r="G14">
        <v>3.05715137311741</v>
      </c>
      <c r="H14">
        <v>11.1861291472587</v>
      </c>
      <c r="I14">
        <v>10.853004260492</v>
      </c>
      <c r="J14">
        <f t="shared" si="0"/>
        <v>100</v>
      </c>
      <c r="K14">
        <v>15.4668387096774</v>
      </c>
    </row>
    <row r="15" spans="2:11">
      <c r="B15" t="s">
        <v>176</v>
      </c>
      <c r="C15">
        <v>8.44920471148719</v>
      </c>
      <c r="D15">
        <v>38.3968202308657</v>
      </c>
      <c r="E15">
        <v>3.23430023612833</v>
      </c>
      <c r="F15">
        <v>17.1540997001655</v>
      </c>
      <c r="G15">
        <v>0.0507225803771129</v>
      </c>
      <c r="H15">
        <v>16.3709292099742</v>
      </c>
      <c r="I15">
        <v>16.3439233310021</v>
      </c>
      <c r="J15">
        <f t="shared" si="0"/>
        <v>100</v>
      </c>
      <c r="K15">
        <v>14.7819935483871</v>
      </c>
    </row>
    <row r="17" spans="3:10">
      <c r="C17">
        <f>AVERAGE(C4:C15)</f>
        <v>8.89111555444446</v>
      </c>
      <c r="D17">
        <f t="shared" ref="D17:J17" si="1">AVERAGE(D4:D15)</f>
        <v>33.0337344299228</v>
      </c>
      <c r="E17">
        <f t="shared" si="1"/>
        <v>16.5184160415743</v>
      </c>
      <c r="F17">
        <f t="shared" si="1"/>
        <v>22.7793611137583</v>
      </c>
      <c r="G17">
        <f t="shared" si="1"/>
        <v>3.36705306244311</v>
      </c>
      <c r="H17">
        <f t="shared" si="1"/>
        <v>10.7459072616348</v>
      </c>
      <c r="I17">
        <f t="shared" si="1"/>
        <v>4.65466739640425</v>
      </c>
      <c r="J17">
        <f t="shared" si="1"/>
        <v>99.990254860182</v>
      </c>
    </row>
    <row r="27" spans="2:4">
      <c r="B27" t="s">
        <v>104</v>
      </c>
      <c r="C27" t="s">
        <v>259</v>
      </c>
      <c r="D27" t="s">
        <v>178</v>
      </c>
    </row>
    <row r="28" spans="3:4">
      <c r="C28" t="s">
        <v>62</v>
      </c>
      <c r="D28" t="s">
        <v>62</v>
      </c>
    </row>
    <row r="30" spans="2:4">
      <c r="B30" t="s">
        <v>177</v>
      </c>
      <c r="C30">
        <v>0.69</v>
      </c>
      <c r="D30">
        <v>0.243</v>
      </c>
    </row>
    <row r="31" spans="2:4">
      <c r="B31" t="s">
        <v>166</v>
      </c>
      <c r="C31">
        <v>0.282</v>
      </c>
      <c r="D31">
        <v>0.205</v>
      </c>
    </row>
    <row r="32" spans="2:4">
      <c r="B32" t="s">
        <v>167</v>
      </c>
      <c r="C32">
        <v>0.293</v>
      </c>
      <c r="D32">
        <v>0.238</v>
      </c>
    </row>
    <row r="33" spans="2:4">
      <c r="B33" t="s">
        <v>168</v>
      </c>
      <c r="C33">
        <v>0.245</v>
      </c>
      <c r="D33">
        <v>0.211</v>
      </c>
    </row>
    <row r="34" spans="2:4">
      <c r="B34" t="s">
        <v>169</v>
      </c>
      <c r="C34">
        <v>0.229</v>
      </c>
      <c r="D34">
        <v>0.235</v>
      </c>
    </row>
    <row r="35" spans="2:4">
      <c r="B35" t="s">
        <v>170</v>
      </c>
      <c r="C35">
        <v>0.239</v>
      </c>
      <c r="D35">
        <v>0.237</v>
      </c>
    </row>
    <row r="36" spans="2:4">
      <c r="B36" t="s">
        <v>171</v>
      </c>
      <c r="C36">
        <v>0.13</v>
      </c>
      <c r="D36">
        <v>0.207</v>
      </c>
    </row>
    <row r="37" spans="2:4">
      <c r="B37" t="s">
        <v>172</v>
      </c>
      <c r="C37">
        <v>0.232</v>
      </c>
      <c r="D37">
        <v>0.207</v>
      </c>
    </row>
    <row r="38" spans="2:4">
      <c r="B38" t="s">
        <v>173</v>
      </c>
      <c r="C38">
        <v>0.212</v>
      </c>
      <c r="D38">
        <v>0.242</v>
      </c>
    </row>
    <row r="39" spans="2:4">
      <c r="B39" t="s">
        <v>174</v>
      </c>
      <c r="C39">
        <v>0.233</v>
      </c>
      <c r="D39">
        <v>0.217</v>
      </c>
    </row>
    <row r="40" spans="2:4">
      <c r="B40" t="s">
        <v>175</v>
      </c>
      <c r="C40">
        <v>0.251</v>
      </c>
      <c r="D40">
        <v>0.224</v>
      </c>
    </row>
    <row r="41" spans="2:4">
      <c r="B41" t="s">
        <v>176</v>
      </c>
      <c r="C41">
        <v>0.283</v>
      </c>
      <c r="D41">
        <v>0.234</v>
      </c>
    </row>
    <row r="46" ht="51" spans="2:7">
      <c r="B46" s="48"/>
      <c r="C46" s="48" t="s">
        <v>179</v>
      </c>
      <c r="D46" s="48" t="s">
        <v>180</v>
      </c>
      <c r="E46" s="48" t="s">
        <v>181</v>
      </c>
      <c r="F46" s="48" t="s">
        <v>182</v>
      </c>
      <c r="G46" s="48" t="s">
        <v>183</v>
      </c>
    </row>
    <row r="47" ht="34" spans="2:7">
      <c r="B47" s="48" t="s">
        <v>154</v>
      </c>
      <c r="C47" s="48" t="s">
        <v>185</v>
      </c>
      <c r="D47" s="48" t="s">
        <v>185</v>
      </c>
      <c r="E47" s="48" t="s">
        <v>122</v>
      </c>
      <c r="F47" s="48" t="s">
        <v>122</v>
      </c>
      <c r="G47" s="48"/>
    </row>
    <row r="48" spans="2:7">
      <c r="B48" t="s">
        <v>177</v>
      </c>
      <c r="C48" s="223">
        <f>IFERROR(INDEX('[48]Pivot BTB Anlage'!$A$6:$F$19,MATCH('[48]Diagramm Kapitel 5'!B48,'[48]Pivot BTB Anlage'!$A$6:$A$19,0),MATCH("Summe der extern abgesetzten Wärmemenge",'[48]Pivot BTB Anlage'!$A$4:$I$4,0))/24,0)</f>
        <v>0</v>
      </c>
      <c r="D48">
        <v>131.904166666667</v>
      </c>
      <c r="E48" s="225">
        <v>195</v>
      </c>
      <c r="F48" s="225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48" s="225">
        <f t="shared" ref="G48:G59" si="2">D48/E48*100</f>
        <v>67.6431623931624</v>
      </c>
    </row>
    <row r="49" spans="2:7">
      <c r="B49" t="s">
        <v>166</v>
      </c>
      <c r="C49" s="223">
        <f>IFERROR(INDEX('[48]Pivot BTB Anlage'!$A$6:$F$19,MATCH('[48]Diagramm Kapitel 5'!B49,'[48]Pivot BTB Anlage'!$A$6:$A$19,0),MATCH("Summe der extern abgesetzten Wärmemenge",'[48]Pivot BTB Anlage'!$A$4:$I$4,0))/24,0)</f>
        <v>0</v>
      </c>
      <c r="D49">
        <v>174.286290322581</v>
      </c>
      <c r="E49" s="199">
        <v>195</v>
      </c>
      <c r="F49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49">
        <f t="shared" si="2"/>
        <v>89.3775847808106</v>
      </c>
    </row>
    <row r="50" spans="2:7">
      <c r="B50" t="s">
        <v>167</v>
      </c>
      <c r="C50" s="223">
        <f>IFERROR(INDEX('[48]Pivot BTB Anlage'!$A$6:$F$19,MATCH('[48]Diagramm Kapitel 5'!B50,'[48]Pivot BTB Anlage'!$A$6:$A$19,0),MATCH("Summe der extern abgesetzten Wärmemenge",'[48]Pivot BTB Anlage'!$A$4:$I$4,0))/24,0)</f>
        <v>0</v>
      </c>
      <c r="D50">
        <v>152.186111111111</v>
      </c>
      <c r="E50" s="199">
        <v>195</v>
      </c>
      <c r="F50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0">
        <f t="shared" si="2"/>
        <v>78.0441595441595</v>
      </c>
    </row>
    <row r="51" spans="2:7">
      <c r="B51" t="s">
        <v>168</v>
      </c>
      <c r="C51" s="223">
        <f>IFERROR(INDEX('[48]Pivot BTB Anlage'!$A$6:$F$19,MATCH('[48]Diagramm Kapitel 5'!B51,'[48]Pivot BTB Anlage'!$A$6:$A$19,0),MATCH("Summe der extern abgesetzten Wärmemenge",'[48]Pivot BTB Anlage'!$A$4:$I$4,0))/24,0)</f>
        <v>0</v>
      </c>
      <c r="D51">
        <v>116.516129032258</v>
      </c>
      <c r="E51" s="199">
        <v>195</v>
      </c>
      <c r="F51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1">
        <f t="shared" si="2"/>
        <v>59.7518610421836</v>
      </c>
    </row>
    <row r="52" spans="2:7">
      <c r="B52" t="s">
        <v>169</v>
      </c>
      <c r="C52" s="223">
        <f>IFERROR(INDEX('[48]Pivot BTB Anlage'!$A$6:$F$19,MATCH('[48]Diagramm Kapitel 5'!B52,'[48]Pivot BTB Anlage'!$A$6:$A$19,0),MATCH("Summe der extern abgesetzten Wärmemenge",'[48]Pivot BTB Anlage'!$A$4:$I$4,0))/24,0)</f>
        <v>0</v>
      </c>
      <c r="D52">
        <v>87.0389784946237</v>
      </c>
      <c r="E52" s="199">
        <v>195</v>
      </c>
      <c r="F52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2">
        <f t="shared" si="2"/>
        <v>44.6353735869865</v>
      </c>
    </row>
    <row r="53" spans="2:7">
      <c r="B53" t="s">
        <v>170</v>
      </c>
      <c r="C53" s="223">
        <f>IFERROR(INDEX('[48]Pivot BTB Anlage'!$A$6:$F$19,MATCH('[48]Diagramm Kapitel 5'!B53,'[48]Pivot BTB Anlage'!$A$6:$A$19,0),MATCH("Summe der extern abgesetzten Wärmemenge",'[48]Pivot BTB Anlage'!$A$4:$I$4,0))/24,0)</f>
        <v>0</v>
      </c>
      <c r="D53">
        <v>101.080357142857</v>
      </c>
      <c r="E53" s="199">
        <v>195</v>
      </c>
      <c r="F53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3">
        <f t="shared" si="2"/>
        <v>51.8360805860806</v>
      </c>
    </row>
    <row r="54" spans="2:7">
      <c r="B54" t="s">
        <v>171</v>
      </c>
      <c r="C54" s="223">
        <f>IFERROR(INDEX('[48]Pivot BTB Anlage'!$A$6:$F$19,MATCH('[48]Diagramm Kapitel 5'!B54,'[48]Pivot BTB Anlage'!$A$6:$A$19,0),MATCH("Summe der extern abgesetzten Wärmemenge",'[48]Pivot BTB Anlage'!$A$4:$I$4,0))/24,0)</f>
        <v>0</v>
      </c>
      <c r="D54">
        <v>109.815860215054</v>
      </c>
      <c r="E54" s="199">
        <v>195</v>
      </c>
      <c r="F54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4">
        <f t="shared" si="2"/>
        <v>56.3158257513096</v>
      </c>
    </row>
    <row r="55" spans="2:7">
      <c r="B55" t="s">
        <v>172</v>
      </c>
      <c r="C55" s="223">
        <f>IFERROR(INDEX('[48]Pivot BTB Anlage'!$A$6:$F$19,MATCH('[48]Diagramm Kapitel 5'!B55,'[48]Pivot BTB Anlage'!$A$6:$A$19,0),MATCH("Summe der extern abgesetzten Wärmemenge",'[48]Pivot BTB Anlage'!$A$4:$I$4,0))/24,0)</f>
        <v>0</v>
      </c>
      <c r="D55">
        <v>138.766666666667</v>
      </c>
      <c r="E55" s="199">
        <v>195</v>
      </c>
      <c r="F55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5">
        <f t="shared" si="2"/>
        <v>71.1623931623932</v>
      </c>
    </row>
    <row r="56" spans="2:7">
      <c r="B56" t="s">
        <v>173</v>
      </c>
      <c r="C56" s="223">
        <f>IFERROR(INDEX('[48]Pivot BTB Anlage'!$A$6:$F$19,MATCH('[48]Diagramm Kapitel 5'!B56,'[48]Pivot BTB Anlage'!$A$6:$A$19,0),MATCH("Summe der extern abgesetzten Wärmemenge",'[48]Pivot BTB Anlage'!$A$4:$I$4,0))/24,0)</f>
        <v>0</v>
      </c>
      <c r="D56">
        <v>118.887096774194</v>
      </c>
      <c r="E56" s="199">
        <v>195</v>
      </c>
      <c r="F56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6">
        <f t="shared" si="2"/>
        <v>60.9677419354839</v>
      </c>
    </row>
    <row r="57" spans="2:7">
      <c r="B57" t="s">
        <v>174</v>
      </c>
      <c r="C57" s="223">
        <f>IFERROR(INDEX('[48]Pivot BTB Anlage'!$A$6:$F$19,MATCH('[48]Diagramm Kapitel 5'!B57,'[48]Pivot BTB Anlage'!$A$6:$A$19,0),MATCH("Summe der extern abgesetzten Wärmemenge",'[48]Pivot BTB Anlage'!$A$4:$I$4,0))/24,0)</f>
        <v>0</v>
      </c>
      <c r="D57">
        <v>107.709722222222</v>
      </c>
      <c r="E57" s="199">
        <v>195</v>
      </c>
      <c r="F57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7">
        <f t="shared" si="2"/>
        <v>55.235754985755</v>
      </c>
    </row>
    <row r="58" spans="2:7">
      <c r="B58" t="s">
        <v>175</v>
      </c>
      <c r="C58" s="223">
        <f>IFERROR(INDEX('[48]Pivot BTB Anlage'!$A$6:$F$19,MATCH('[48]Diagramm Kapitel 5'!B58,'[48]Pivot BTB Anlage'!$A$6:$A$19,0),MATCH("Summe der extern abgesetzten Wärmemenge",'[48]Pivot BTB Anlage'!$A$4:$I$4,0))/24,0)</f>
        <v>0</v>
      </c>
      <c r="D58">
        <v>109.704301075269</v>
      </c>
      <c r="E58" s="199">
        <v>195</v>
      </c>
      <c r="F58" s="199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8">
        <f t="shared" si="2"/>
        <v>56.2586159360353</v>
      </c>
    </row>
    <row r="59" spans="2:7">
      <c r="B59" t="s">
        <v>176</v>
      </c>
      <c r="C59" s="223">
        <f>IFERROR(INDEX('[48]Pivot BTB Anlage'!$A$6:$F$19,MATCH('[48]Diagramm Kapitel 5'!B59,'[48]Pivot BTB Anlage'!$A$6:$A$19,0),MATCH("Summe der extern abgesetzten Wärmemenge",'[48]Pivot BTB Anlage'!$A$4:$I$4,0))/24,0)</f>
        <v>0</v>
      </c>
      <c r="D59">
        <v>137.161290322581</v>
      </c>
      <c r="E59" s="227">
        <v>195</v>
      </c>
      <c r="F59" s="227">
        <f>IFERROR(IFERROR('[48]Pivot Ersterfassung BHKW'!$B$10,0)+IFERROR('[48]Pivot Ersterfassung BHKW'!$C$10,0)+IFERROR('[48]Pivot Ersterfassung BHKW'!$D$10,0)+IFERROR('[48]Pivot Ersterfassung BHKW'!$E$10,0)+IFERROR('[48]Pivot Ersterfassung BHKW'!$F$10,0)+IFERROR('[48]Pivot Ersterfassung BHKW'!$G$10,0)+IFERROR('[48]Pivot Ersterfassung BHKW'!$H$10,0)+IFERROR('[48]Pivot Ersterfassung BHKW'!$I$10,0),0)</f>
        <v>0</v>
      </c>
      <c r="G59" s="228">
        <f t="shared" si="2"/>
        <v>70.339123242349</v>
      </c>
    </row>
    <row r="61" spans="7:7">
      <c r="G61" s="199">
        <f>AVERAGE(G48:G59)</f>
        <v>63.4639730788924</v>
      </c>
    </row>
  </sheetData>
  <pageMargins left="0.7" right="0.7" top="0.787401575" bottom="0.787401575" header="0.3" footer="0.3"/>
  <headerFooter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499984740745262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618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355</v>
      </c>
      <c r="G3" s="22"/>
      <c r="H3" s="23" t="s">
        <v>187</v>
      </c>
      <c r="I3" s="5" t="s">
        <v>188</v>
      </c>
      <c r="J3" s="35">
        <v>1134351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195</v>
      </c>
      <c r="G4" s="216"/>
      <c r="H4" s="25" t="s">
        <v>187</v>
      </c>
      <c r="I4" s="7" t="s">
        <v>191</v>
      </c>
      <c r="J4" s="37">
        <v>1803865.92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81.9748074463753</v>
      </c>
      <c r="H6" s="27" t="s">
        <v>195</v>
      </c>
      <c r="I6" s="1"/>
      <c r="J6" s="40">
        <v>354110.24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18.0251925536248</v>
      </c>
      <c r="H7" s="27" t="s">
        <v>195</v>
      </c>
      <c r="I7" s="1"/>
      <c r="J7" s="40">
        <v>77864.23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431974.47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44.3434856178733</v>
      </c>
      <c r="H11" s="27" t="s">
        <v>195</v>
      </c>
      <c r="I11" s="1"/>
      <c r="J11" s="40">
        <v>163111.49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44.8006320754717</v>
      </c>
      <c r="F13" s="15" t="s">
        <v>204</v>
      </c>
      <c r="G13" s="31"/>
      <c r="H13" s="15"/>
      <c r="I13" s="15"/>
      <c r="J13" s="45">
        <v>47488.67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32">
        <v>39.7753382352941</v>
      </c>
      <c r="F14" s="15" t="s">
        <v>204</v>
      </c>
      <c r="G14" s="31"/>
      <c r="H14" s="15"/>
      <c r="I14" s="15"/>
      <c r="J14" s="45">
        <v>54094.46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63.0898697068404</v>
      </c>
      <c r="F15" s="15" t="s">
        <v>204</v>
      </c>
      <c r="G15" s="31"/>
      <c r="H15" s="15"/>
      <c r="I15" s="15"/>
      <c r="J15" s="45">
        <v>38737.18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18.3812657811317</v>
      </c>
      <c r="H16" s="27" t="s">
        <v>195</v>
      </c>
      <c r="I16" s="1"/>
      <c r="J16" s="40">
        <v>67612.99</v>
      </c>
      <c r="K16" s="41" t="s">
        <v>196</v>
      </c>
      <c r="L16" s="1"/>
    </row>
    <row r="17" ht="21.75" customHeight="1" spans="1:14">
      <c r="A17" s="1"/>
      <c r="B17" s="11"/>
      <c r="C17" s="1" t="s">
        <v>208</v>
      </c>
      <c r="D17" s="1"/>
      <c r="E17" s="1"/>
      <c r="F17" s="1"/>
      <c r="G17" s="26">
        <v>15.9431738706026</v>
      </c>
      <c r="H17" s="27" t="s">
        <v>195</v>
      </c>
      <c r="I17" s="1"/>
      <c r="J17" s="40">
        <v>58644.8</v>
      </c>
      <c r="K17" s="41" t="s">
        <v>196</v>
      </c>
      <c r="L17" s="1"/>
      <c r="N17" s="154"/>
    </row>
    <row r="18" ht="21.75" customHeight="1" spans="1:12">
      <c r="A18" s="1"/>
      <c r="B18" s="11"/>
      <c r="C18" s="1" t="s">
        <v>629</v>
      </c>
      <c r="D18" s="1"/>
      <c r="E18" s="1"/>
      <c r="F18" s="1"/>
      <c r="G18" s="26">
        <v>17.1389010364988</v>
      </c>
      <c r="H18" s="27" t="s">
        <v>195</v>
      </c>
      <c r="I18" s="1"/>
      <c r="J18" s="40">
        <v>63043.12</v>
      </c>
      <c r="K18" s="41" t="s">
        <v>196</v>
      </c>
      <c r="L18" s="1"/>
    </row>
    <row r="19" ht="21.75" customHeight="1" spans="1:12">
      <c r="A19" s="1"/>
      <c r="B19" s="11"/>
      <c r="C19" s="1" t="s">
        <v>324</v>
      </c>
      <c r="D19" s="1"/>
      <c r="E19" s="1"/>
      <c r="F19" s="1"/>
      <c r="G19" s="26">
        <v>4.19317369389361</v>
      </c>
      <c r="H19" s="27" t="s">
        <v>195</v>
      </c>
      <c r="I19" s="1"/>
      <c r="J19" s="40">
        <v>15424.02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630</v>
      </c>
      <c r="E22" s="15"/>
      <c r="F22" s="15"/>
      <c r="G22" s="33"/>
      <c r="H22" s="17"/>
      <c r="I22" s="17"/>
      <c r="J22" s="45">
        <v>0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94</v>
      </c>
      <c r="K24" s="44" t="s">
        <v>196</v>
      </c>
      <c r="L24" s="15"/>
    </row>
    <row r="25" ht="21.75" customHeight="1" spans="1:14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2477.6</v>
      </c>
      <c r="K25" s="44" t="s">
        <v>196</v>
      </c>
      <c r="L25" s="15"/>
      <c r="N25" t="s">
        <v>77</v>
      </c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2501.91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347</v>
      </c>
      <c r="E29" s="15"/>
      <c r="F29" s="15"/>
      <c r="G29" s="31"/>
      <c r="H29" s="15"/>
      <c r="I29" s="15"/>
      <c r="J29" s="45">
        <v>0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2593.53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367836.42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38.0811997344737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32.4270371340088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5.65416260046494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64138.05</v>
      </c>
      <c r="K37" s="43" t="s">
        <v>196</v>
      </c>
      <c r="L37" s="12"/>
    </row>
    <row r="38" ht="21.75" customHeight="1" spans="1:12">
      <c r="A38" s="1"/>
      <c r="B38" s="1" t="s">
        <v>631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632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21.75" customHeight="1" spans="1:12">
      <c r="A40" s="19"/>
      <c r="B40" s="19" t="s">
        <v>633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 spans="1:12">
      <c r="A41" s="19"/>
      <c r="B41" s="19" t="s">
        <v>634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</row>
    <row r="42" ht="21.75" customHeight="1" spans="1:1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</row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399975585192419"/>
  </sheetPr>
  <dimension ref="A1:M63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6384" width="11.5" style="156"/>
  </cols>
  <sheetData>
    <row r="1" ht="21.75" customHeight="1" spans="1:12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</row>
    <row r="2" ht="25.5" customHeight="1" spans="1:12">
      <c r="A2" s="157"/>
      <c r="B2" s="49" t="s">
        <v>635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5" customHeight="1" spans="1:12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ht="15" customHeight="1" spans="1:12">
      <c r="A4" s="157"/>
      <c r="B4" s="54" t="s">
        <v>2</v>
      </c>
      <c r="C4" s="56" t="s">
        <v>557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2004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368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8" t="s">
        <v>441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5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5" t="s">
        <v>636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8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2">
      <c r="A14" s="157"/>
      <c r="B14" s="66" t="s">
        <v>26</v>
      </c>
      <c r="C14" s="64"/>
      <c r="D14" s="68">
        <v>2</v>
      </c>
      <c r="E14" s="68">
        <v>2</v>
      </c>
      <c r="F14" s="68"/>
      <c r="G14" s="68"/>
      <c r="H14" s="64"/>
      <c r="I14" s="57" t="s">
        <v>248</v>
      </c>
      <c r="J14" s="64"/>
      <c r="K14" s="161">
        <v>11901</v>
      </c>
      <c r="L14" s="114" t="s">
        <v>28</v>
      </c>
    </row>
    <row r="15" ht="15" customHeight="1" spans="1:12">
      <c r="A15" s="157"/>
      <c r="B15" s="66" t="s">
        <v>54</v>
      </c>
      <c r="C15" s="64" t="s">
        <v>55</v>
      </c>
      <c r="D15" s="69">
        <v>1900</v>
      </c>
      <c r="E15" s="69">
        <v>2600</v>
      </c>
      <c r="F15" s="68"/>
      <c r="G15" s="69"/>
      <c r="H15" s="98">
        <f>SUM(D15:E15)</f>
        <v>4500</v>
      </c>
      <c r="I15" s="57" t="s">
        <v>249</v>
      </c>
      <c r="J15" s="64"/>
      <c r="K15" s="162">
        <f>K14/365</f>
        <v>32.6054794520548</v>
      </c>
      <c r="L15" s="114" t="s">
        <v>56</v>
      </c>
    </row>
    <row r="16" ht="15" customHeight="1" spans="1:12">
      <c r="A16" s="157"/>
      <c r="B16" s="66" t="s">
        <v>234</v>
      </c>
      <c r="C16" s="64" t="s">
        <v>55</v>
      </c>
      <c r="D16" s="69">
        <v>1800</v>
      </c>
      <c r="E16" s="69">
        <v>2500</v>
      </c>
      <c r="F16" s="68"/>
      <c r="G16" s="69"/>
      <c r="H16" s="98">
        <f>SUM(D16:E16)</f>
        <v>4300</v>
      </c>
      <c r="I16" s="56" t="s">
        <v>157</v>
      </c>
      <c r="J16" s="56"/>
      <c r="K16" s="163">
        <v>29.7</v>
      </c>
      <c r="L16" s="118" t="s">
        <v>59</v>
      </c>
    </row>
    <row r="17" ht="15" customHeight="1" spans="1:12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68"/>
      <c r="G17" s="70"/>
      <c r="H17" s="98"/>
      <c r="I17" s="56" t="s">
        <v>58</v>
      </c>
      <c r="J17" s="56"/>
      <c r="K17" s="164">
        <v>69.7</v>
      </c>
      <c r="L17" s="118" t="s">
        <v>59</v>
      </c>
    </row>
    <row r="18" ht="15" customHeight="1" spans="1:12">
      <c r="A18" s="157"/>
      <c r="B18" s="57" t="s">
        <v>66</v>
      </c>
      <c r="C18" s="56" t="s">
        <v>55</v>
      </c>
      <c r="D18" s="71">
        <v>0</v>
      </c>
      <c r="E18" s="71">
        <v>830</v>
      </c>
      <c r="F18" s="68"/>
      <c r="G18" s="71"/>
      <c r="H18" s="98">
        <f>SUM(D18:E18)</f>
        <v>830</v>
      </c>
      <c r="I18" s="56" t="s">
        <v>250</v>
      </c>
      <c r="J18" s="56"/>
      <c r="K18" s="164">
        <v>0.530800277222879</v>
      </c>
      <c r="L18" s="118" t="s">
        <v>59</v>
      </c>
    </row>
    <row r="19" ht="15" customHeight="1" spans="1:12">
      <c r="A19" s="157"/>
      <c r="B19" s="57"/>
      <c r="C19" s="56"/>
      <c r="D19" s="70"/>
      <c r="E19" s="70"/>
      <c r="F19" s="187"/>
      <c r="G19" s="70"/>
      <c r="H19" s="100"/>
      <c r="I19" s="56" t="s">
        <v>637</v>
      </c>
      <c r="J19" s="56"/>
      <c r="K19" s="164">
        <v>3.6</v>
      </c>
      <c r="L19" s="118" t="s">
        <v>59</v>
      </c>
    </row>
    <row r="20" ht="15" customHeight="1" spans="1:12">
      <c r="A20" s="157"/>
      <c r="B20" s="72" t="s">
        <v>69</v>
      </c>
      <c r="C20" s="73"/>
      <c r="D20" s="74"/>
      <c r="E20" s="74"/>
      <c r="F20" s="68"/>
      <c r="G20" s="74"/>
      <c r="H20" s="101"/>
      <c r="I20" s="56"/>
      <c r="J20" s="56"/>
      <c r="K20" s="164"/>
      <c r="L20" s="118"/>
    </row>
    <row r="21" ht="15" customHeight="1" spans="1:12">
      <c r="A21" s="157"/>
      <c r="B21" s="66" t="s">
        <v>71</v>
      </c>
      <c r="C21" s="64" t="s">
        <v>59</v>
      </c>
      <c r="D21" s="75">
        <v>8.56207787114767</v>
      </c>
      <c r="E21" s="75">
        <v>7.5</v>
      </c>
      <c r="F21" s="68"/>
      <c r="G21" s="77"/>
      <c r="H21" s="102"/>
      <c r="I21" s="56"/>
      <c r="J21" s="56"/>
      <c r="K21" s="164"/>
      <c r="L21" s="118"/>
    </row>
    <row r="22" ht="15" customHeight="1" spans="1:12">
      <c r="A22" s="157"/>
      <c r="B22" s="66" t="s">
        <v>73</v>
      </c>
      <c r="C22" s="64" t="s">
        <v>59</v>
      </c>
      <c r="D22" s="75">
        <v>79.6</v>
      </c>
      <c r="E22" s="75">
        <v>77.9</v>
      </c>
      <c r="F22" s="68"/>
      <c r="G22" s="77"/>
      <c r="H22" s="78"/>
      <c r="I22" s="57"/>
      <c r="J22" s="56"/>
      <c r="K22" s="164"/>
      <c r="L22" s="118"/>
    </row>
    <row r="23" ht="15" customHeight="1" spans="1:12">
      <c r="A23" s="157"/>
      <c r="B23" s="66" t="s">
        <v>74</v>
      </c>
      <c r="C23" s="76" t="s">
        <v>75</v>
      </c>
      <c r="D23" s="77"/>
      <c r="E23" s="77"/>
      <c r="F23" s="68"/>
      <c r="G23" s="78"/>
      <c r="H23" s="75" t="s">
        <v>638</v>
      </c>
      <c r="I23" s="125" t="s">
        <v>76</v>
      </c>
      <c r="J23" s="56"/>
      <c r="K23" s="165"/>
      <c r="L23" s="118"/>
    </row>
    <row r="24" ht="15" customHeight="1" spans="1:12">
      <c r="A24" s="157"/>
      <c r="B24" s="66" t="s">
        <v>78</v>
      </c>
      <c r="C24" s="56" t="s">
        <v>79</v>
      </c>
      <c r="D24" s="77"/>
      <c r="E24" s="77"/>
      <c r="F24" s="68"/>
      <c r="G24" s="78"/>
      <c r="H24" s="77" t="s">
        <v>639</v>
      </c>
      <c r="I24" s="127" t="s">
        <v>80</v>
      </c>
      <c r="J24" s="56"/>
      <c r="K24" s="163">
        <v>35.4</v>
      </c>
      <c r="L24" s="118" t="s">
        <v>59</v>
      </c>
    </row>
    <row r="25" ht="15" customHeight="1" spans="1:12">
      <c r="A25" s="157"/>
      <c r="B25" s="57" t="s">
        <v>81</v>
      </c>
      <c r="C25" s="56" t="s">
        <v>59</v>
      </c>
      <c r="D25" s="77"/>
      <c r="E25" s="77"/>
      <c r="F25" s="68"/>
      <c r="G25" s="77"/>
      <c r="H25" s="77" t="s">
        <v>608</v>
      </c>
      <c r="I25" s="128" t="s">
        <v>83</v>
      </c>
      <c r="J25" s="56"/>
      <c r="K25" s="163">
        <v>95.3</v>
      </c>
      <c r="L25" s="118" t="s">
        <v>59</v>
      </c>
    </row>
    <row r="26" ht="15" customHeight="1" spans="1:12">
      <c r="A26" s="157"/>
      <c r="B26" s="57" t="s">
        <v>84</v>
      </c>
      <c r="C26" s="56" t="s">
        <v>59</v>
      </c>
      <c r="D26" s="78"/>
      <c r="E26" s="78"/>
      <c r="F26" s="68"/>
      <c r="G26" s="78"/>
      <c r="H26" s="78" t="s">
        <v>537</v>
      </c>
      <c r="I26" s="57" t="s">
        <v>86</v>
      </c>
      <c r="J26" s="56"/>
      <c r="K26" s="163">
        <v>79.4</v>
      </c>
      <c r="L26" s="118" t="s">
        <v>59</v>
      </c>
    </row>
    <row r="27" ht="15" customHeight="1" spans="1:12">
      <c r="A27" s="157"/>
      <c r="B27" s="57" t="s">
        <v>87</v>
      </c>
      <c r="C27" s="56" t="s">
        <v>88</v>
      </c>
      <c r="D27" s="78"/>
      <c r="E27" s="78"/>
      <c r="F27" s="68"/>
      <c r="G27" s="78"/>
      <c r="H27" s="75" t="s">
        <v>299</v>
      </c>
      <c r="I27" s="129"/>
      <c r="J27" s="130"/>
      <c r="K27" s="130"/>
      <c r="L27" s="167"/>
    </row>
    <row r="28" ht="15" customHeight="1" spans="1:12">
      <c r="A28" s="157"/>
      <c r="B28" s="57" t="s">
        <v>90</v>
      </c>
      <c r="C28" s="56" t="s">
        <v>91</v>
      </c>
      <c r="D28" s="78"/>
      <c r="E28" s="78"/>
      <c r="F28" s="68"/>
      <c r="G28" s="78"/>
      <c r="H28" s="75" t="s">
        <v>425</v>
      </c>
      <c r="I28" s="63" t="s">
        <v>93</v>
      </c>
      <c r="J28" s="133"/>
      <c r="K28" s="64"/>
      <c r="L28" s="114"/>
    </row>
    <row r="29" ht="15" customHeight="1" spans="1:12">
      <c r="A29" s="157"/>
      <c r="B29" s="66" t="s">
        <v>32</v>
      </c>
      <c r="C29" s="56" t="s">
        <v>62</v>
      </c>
      <c r="D29" s="75">
        <v>7.7</v>
      </c>
      <c r="E29" s="75">
        <v>7.8</v>
      </c>
      <c r="F29" s="68"/>
      <c r="G29" s="80"/>
      <c r="H29" s="78"/>
      <c r="I29" s="66" t="s">
        <v>26</v>
      </c>
      <c r="J29" s="64"/>
      <c r="K29" s="64">
        <v>1</v>
      </c>
      <c r="L29" s="114"/>
    </row>
    <row r="30" ht="15" customHeight="1" spans="1:12">
      <c r="A30" s="157"/>
      <c r="B30" s="66" t="s">
        <v>94</v>
      </c>
      <c r="C30" s="56" t="s">
        <v>95</v>
      </c>
      <c r="D30" s="77">
        <v>41</v>
      </c>
      <c r="E30" s="78">
        <v>39</v>
      </c>
      <c r="F30" s="68"/>
      <c r="G30" s="77"/>
      <c r="H30" s="78"/>
      <c r="I30" s="66" t="s">
        <v>96</v>
      </c>
      <c r="J30" s="92"/>
      <c r="K30" s="92">
        <v>4100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1.99</v>
      </c>
      <c r="E31" s="80"/>
      <c r="F31" s="68"/>
      <c r="G31" s="80"/>
      <c r="H31" s="78"/>
      <c r="I31" s="66" t="s">
        <v>99</v>
      </c>
      <c r="J31" s="92"/>
      <c r="K31" s="161"/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4.64</v>
      </c>
      <c r="E32" s="80"/>
      <c r="F32" s="68"/>
      <c r="G32" s="80"/>
      <c r="H32" s="78"/>
      <c r="I32" s="66" t="s">
        <v>66</v>
      </c>
      <c r="J32" s="92"/>
      <c r="K32" s="92">
        <v>1900</v>
      </c>
      <c r="L32" s="114" t="s">
        <v>55</v>
      </c>
    </row>
    <row r="33" ht="15" customHeight="1" spans="1:12">
      <c r="A33" s="157"/>
      <c r="B33" s="66" t="s">
        <v>101</v>
      </c>
      <c r="C33" s="64" t="s">
        <v>102</v>
      </c>
      <c r="D33" s="69">
        <v>2040</v>
      </c>
      <c r="E33" s="80"/>
      <c r="F33" s="68"/>
      <c r="G33" s="80"/>
      <c r="H33" s="78"/>
      <c r="I33" s="57" t="s">
        <v>103</v>
      </c>
      <c r="J33" s="64"/>
      <c r="K33" s="162" t="s">
        <v>640</v>
      </c>
      <c r="L33" s="114" t="s">
        <v>59</v>
      </c>
    </row>
    <row r="34" ht="15" customHeight="1" spans="1:12">
      <c r="A34" s="157"/>
      <c r="B34" s="66" t="s">
        <v>104</v>
      </c>
      <c r="C34" s="64" t="s">
        <v>62</v>
      </c>
      <c r="D34" s="80">
        <v>0.49</v>
      </c>
      <c r="E34" s="80">
        <v>0.28</v>
      </c>
      <c r="F34" s="68"/>
      <c r="G34" s="80"/>
      <c r="H34" s="78"/>
      <c r="I34" s="66" t="s">
        <v>105</v>
      </c>
      <c r="J34" s="64"/>
      <c r="K34" s="194">
        <v>7.2</v>
      </c>
      <c r="L34" s="114" t="s">
        <v>59</v>
      </c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94">
        <v>74.9</v>
      </c>
      <c r="L35" s="114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2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63</v>
      </c>
      <c r="E39" s="78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51.8490410958904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/>
      <c r="H41" s="67"/>
      <c r="I41" s="66"/>
      <c r="J41" s="64" t="s">
        <v>113</v>
      </c>
      <c r="K41" s="78" t="s">
        <v>116</v>
      </c>
      <c r="L41" s="103">
        <v>53.0345205479452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/>
      <c r="H42" s="102"/>
      <c r="I42" s="66"/>
      <c r="J42" s="64" t="s">
        <v>113</v>
      </c>
      <c r="K42" s="78" t="s">
        <v>120</v>
      </c>
      <c r="L42" s="173">
        <v>0.33827397260274</v>
      </c>
    </row>
    <row r="43" ht="15" customHeight="1" spans="1:12">
      <c r="A43" s="157"/>
      <c r="B43" s="66" t="s">
        <v>121</v>
      </c>
      <c r="C43" s="64" t="s">
        <v>122</v>
      </c>
      <c r="D43" s="77">
        <v>250</v>
      </c>
      <c r="E43" s="77">
        <v>250</v>
      </c>
      <c r="F43" s="77">
        <v>250</v>
      </c>
      <c r="G43" s="78"/>
      <c r="H43" s="102"/>
      <c r="I43" s="66"/>
      <c r="J43" s="64" t="s">
        <v>123</v>
      </c>
      <c r="K43" s="172" t="s">
        <v>124</v>
      </c>
      <c r="L43" s="174">
        <v>61.5506849315069</v>
      </c>
    </row>
    <row r="44" ht="15" customHeight="1" spans="1:12">
      <c r="A44" s="157"/>
      <c r="B44" s="66" t="s">
        <v>125</v>
      </c>
      <c r="C44" s="64" t="s">
        <v>122</v>
      </c>
      <c r="D44" s="77">
        <f>D43/D45*D46</f>
        <v>266.066838046272</v>
      </c>
      <c r="E44" s="77">
        <f>E43/E45*E46</f>
        <v>268.831168831169</v>
      </c>
      <c r="F44" s="77">
        <f>F43/F45*F46</f>
        <v>266.025641025641</v>
      </c>
      <c r="G44" s="78"/>
      <c r="H44" s="102"/>
      <c r="I44" s="148" t="s">
        <v>126</v>
      </c>
      <c r="J44" s="64"/>
      <c r="K44" s="64"/>
      <c r="L44" s="114"/>
    </row>
    <row r="45" ht="15" customHeight="1" spans="1:12">
      <c r="A45" s="157"/>
      <c r="B45" s="66" t="s">
        <v>127</v>
      </c>
      <c r="C45" s="64" t="s">
        <v>59</v>
      </c>
      <c r="D45" s="78">
        <v>38.9</v>
      </c>
      <c r="E45" s="78">
        <v>38.5</v>
      </c>
      <c r="F45" s="75">
        <v>39</v>
      </c>
      <c r="G45" s="78"/>
      <c r="H45" s="102"/>
      <c r="I45" s="64"/>
      <c r="J45" s="64"/>
      <c r="K45" s="78" t="s">
        <v>128</v>
      </c>
      <c r="L45" s="102" t="s">
        <v>129</v>
      </c>
    </row>
    <row r="46" ht="15" customHeight="1" spans="1:12">
      <c r="A46" s="157"/>
      <c r="B46" s="66" t="s">
        <v>130</v>
      </c>
      <c r="C46" s="64" t="s">
        <v>59</v>
      </c>
      <c r="D46" s="78">
        <v>41.4</v>
      </c>
      <c r="E46" s="78">
        <v>41.4</v>
      </c>
      <c r="F46" s="78">
        <v>41.5</v>
      </c>
      <c r="G46" s="78"/>
      <c r="H46" s="102"/>
      <c r="I46" s="66"/>
      <c r="J46" s="64" t="s">
        <v>131</v>
      </c>
      <c r="K46" s="77">
        <v>267</v>
      </c>
      <c r="L46" s="174">
        <f>K46*L40/100</f>
        <v>138.436939726027</v>
      </c>
    </row>
    <row r="47" ht="15" customHeight="1" spans="1:12">
      <c r="A47" s="157"/>
      <c r="B47" s="57" t="s">
        <v>132</v>
      </c>
      <c r="C47" s="56" t="s">
        <v>62</v>
      </c>
      <c r="D47" s="77" t="s">
        <v>133</v>
      </c>
      <c r="E47" s="77" t="s">
        <v>133</v>
      </c>
      <c r="F47" s="77" t="s">
        <v>133</v>
      </c>
      <c r="G47" s="78"/>
      <c r="H47" s="102"/>
      <c r="I47" s="66"/>
      <c r="J47" s="64" t="s">
        <v>134</v>
      </c>
      <c r="K47" s="77">
        <f>K46*100/K24/K25*100</f>
        <v>791.43471997439</v>
      </c>
      <c r="L47" s="174">
        <f>K47*L40/100</f>
        <v>410.351313206666</v>
      </c>
    </row>
    <row r="48" ht="15" customHeight="1" spans="1:12">
      <c r="A48" s="157"/>
      <c r="B48" s="66" t="s">
        <v>135</v>
      </c>
      <c r="C48" s="64" t="s">
        <v>240</v>
      </c>
      <c r="D48" s="69">
        <v>8695</v>
      </c>
      <c r="E48" s="69">
        <v>8727</v>
      </c>
      <c r="F48" s="69">
        <v>8697</v>
      </c>
      <c r="G48" s="78" t="s">
        <v>77</v>
      </c>
      <c r="H48" s="102"/>
      <c r="I48" s="148" t="s">
        <v>137</v>
      </c>
      <c r="J48" s="64"/>
      <c r="K48" s="64"/>
      <c r="L48" s="114"/>
    </row>
    <row r="49" ht="15" customHeight="1" spans="1:12">
      <c r="A49" s="157"/>
      <c r="B49" s="57" t="s">
        <v>138</v>
      </c>
      <c r="C49" s="64" t="s">
        <v>240</v>
      </c>
      <c r="D49" s="69">
        <f>8760*D50/100</f>
        <v>8401.2</v>
      </c>
      <c r="E49" s="69">
        <f>8760*E50/100</f>
        <v>8516.4</v>
      </c>
      <c r="F49" s="69">
        <f>8760*F50/100</f>
        <v>8513.60000000001</v>
      </c>
      <c r="G49" s="78"/>
      <c r="H49" s="102"/>
      <c r="I49" s="66"/>
      <c r="J49" s="64" t="s">
        <v>139</v>
      </c>
      <c r="K49" s="69">
        <v>17418.6301369863</v>
      </c>
      <c r="L49" s="98"/>
    </row>
    <row r="50" ht="15" customHeight="1" spans="1:13">
      <c r="A50" s="157"/>
      <c r="B50" s="57" t="s">
        <v>140</v>
      </c>
      <c r="C50" s="64" t="s">
        <v>59</v>
      </c>
      <c r="D50" s="75">
        <v>95.9041095890411</v>
      </c>
      <c r="E50" s="75">
        <v>97.2191780821918</v>
      </c>
      <c r="F50" s="75">
        <v>97.1872146118722</v>
      </c>
      <c r="G50" s="78"/>
      <c r="H50" s="102"/>
      <c r="I50" s="66"/>
      <c r="J50" s="64" t="s">
        <v>141</v>
      </c>
      <c r="K50" s="77">
        <f>K49/K15</f>
        <v>534.224014788673</v>
      </c>
      <c r="L50" s="114"/>
      <c r="M50" s="182"/>
    </row>
    <row r="51" ht="15" customHeight="1" spans="1:12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</row>
    <row r="52" ht="15" customHeight="1" spans="1:12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</row>
    <row r="53" ht="15" customHeight="1" spans="1:12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</row>
    <row r="54" ht="15" customHeight="1" spans="1:12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</row>
    <row r="55" ht="15" customHeight="1" spans="1:12">
      <c r="A55" s="157"/>
      <c r="B55" s="66" t="s">
        <v>146</v>
      </c>
      <c r="C55" s="93">
        <v>467835.000000001</v>
      </c>
      <c r="D55" s="69">
        <v>7.35844159929537</v>
      </c>
      <c r="E55" s="111" t="s">
        <v>147</v>
      </c>
      <c r="F55" s="64"/>
      <c r="G55" s="64" t="s">
        <v>148</v>
      </c>
      <c r="H55" s="64"/>
      <c r="I55" s="69"/>
      <c r="J55" s="69"/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643</v>
      </c>
      <c r="H56" s="64"/>
      <c r="I56" s="69">
        <v>6100000</v>
      </c>
      <c r="J56" s="69">
        <v>89.2289785774953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644</v>
      </c>
      <c r="H57" s="64"/>
      <c r="I57" s="69">
        <v>3400000</v>
      </c>
      <c r="J57" s="69">
        <f>J56/I56*I57</f>
        <v>49.734184780899</v>
      </c>
      <c r="K57" s="111" t="s">
        <v>149</v>
      </c>
      <c r="L57" s="114"/>
    </row>
    <row r="58" ht="15" customHeight="1" spans="1:12">
      <c r="A58" s="157"/>
      <c r="B58" s="66"/>
      <c r="C58" s="92"/>
      <c r="D58" s="69"/>
      <c r="E58" s="64"/>
      <c r="F58" s="64"/>
      <c r="G58" s="64" t="s">
        <v>645</v>
      </c>
      <c r="H58" s="64"/>
      <c r="I58" s="69">
        <v>2700000</v>
      </c>
      <c r="J58" s="69">
        <f>J56/I56*I58</f>
        <v>39.4947937965963</v>
      </c>
      <c r="K58" s="111" t="s">
        <v>149</v>
      </c>
      <c r="L58" s="114"/>
    </row>
    <row r="59" ht="15" customHeight="1" spans="1:12">
      <c r="A59" s="157"/>
      <c r="B59" s="81"/>
      <c r="C59" s="94"/>
      <c r="D59" s="89"/>
      <c r="E59" s="94"/>
      <c r="F59" s="94"/>
      <c r="G59" s="94"/>
      <c r="H59" s="94"/>
      <c r="I59" s="89"/>
      <c r="J59" s="89"/>
      <c r="K59" s="153"/>
      <c r="L59" s="115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ht="16.8" spans="1:8">
      <c r="A62" s="157"/>
      <c r="G62"/>
      <c r="H62"/>
    </row>
    <row r="63" ht="16.8" spans="7:8">
      <c r="G63"/>
      <c r="H63"/>
    </row>
  </sheetData>
  <mergeCells count="2">
    <mergeCell ref="B2:L2"/>
    <mergeCell ref="I36:L36"/>
  </mergeCells>
  <pageMargins left="0.7" right="0.7" top="0.787401575" bottom="0.7874015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399975585192419"/>
  </sheetPr>
  <dimension ref="B3:W53"/>
  <sheetViews>
    <sheetView zoomScale="85" zoomScaleNormal="85" workbookViewId="0">
      <selection activeCell="A1" sqref="A1"/>
    </sheetView>
  </sheetViews>
  <sheetFormatPr defaultColWidth="11.5" defaultRowHeight="16.8"/>
  <cols>
    <col min="11" max="11" width="14.5" customWidth="1"/>
  </cols>
  <sheetData>
    <row r="3" spans="13:13">
      <c r="M3">
        <v>100</v>
      </c>
    </row>
    <row r="4" spans="12:23">
      <c r="L4" t="s">
        <v>177</v>
      </c>
      <c r="M4" t="s">
        <v>166</v>
      </c>
      <c r="N4" t="s">
        <v>167</v>
      </c>
      <c r="O4" t="s">
        <v>168</v>
      </c>
      <c r="P4" t="s">
        <v>169</v>
      </c>
      <c r="Q4" t="s">
        <v>170</v>
      </c>
      <c r="R4" t="s">
        <v>171</v>
      </c>
      <c r="S4" t="s">
        <v>172</v>
      </c>
      <c r="T4" t="s">
        <v>173</v>
      </c>
      <c r="U4" t="s">
        <v>174</v>
      </c>
      <c r="V4" t="s">
        <v>175</v>
      </c>
      <c r="W4" t="s">
        <v>176</v>
      </c>
    </row>
    <row r="5" spans="11:23">
      <c r="K5" t="s">
        <v>58</v>
      </c>
      <c r="L5" s="191">
        <v>45.7142857142857</v>
      </c>
      <c r="M5" s="191">
        <v>82.713567839196</v>
      </c>
      <c r="N5" s="191">
        <v>81</v>
      </c>
      <c r="O5" s="191">
        <v>79.1543756145526</v>
      </c>
      <c r="P5" s="191">
        <v>75.8553274682307</v>
      </c>
      <c r="Q5" s="191">
        <v>74.5762711864407</v>
      </c>
      <c r="R5" s="191">
        <v>69.2732290708372</v>
      </c>
      <c r="S5" s="191">
        <v>66.8112798264642</v>
      </c>
      <c r="T5" s="191">
        <v>62.6262626262626</v>
      </c>
      <c r="U5" s="191">
        <v>66.9291338582677</v>
      </c>
      <c r="V5" s="191">
        <v>53.86119257087</v>
      </c>
      <c r="W5" s="191">
        <v>49.4979919678715</v>
      </c>
    </row>
    <row r="6" spans="11:23">
      <c r="K6" t="s">
        <v>157</v>
      </c>
      <c r="L6" s="191">
        <v>46.1083743842365</v>
      </c>
      <c r="M6" s="191">
        <v>15.2763819095477</v>
      </c>
      <c r="N6" s="191">
        <v>18</v>
      </c>
      <c r="O6" s="191">
        <v>20.8456243854474</v>
      </c>
      <c r="P6" s="191">
        <v>24.1446725317693</v>
      </c>
      <c r="Q6" s="191">
        <v>23.3050847457627</v>
      </c>
      <c r="R6" s="191">
        <v>25.2069917203312</v>
      </c>
      <c r="S6" s="191">
        <v>28.8503253796095</v>
      </c>
      <c r="T6" s="191">
        <v>31.3131313131313</v>
      </c>
      <c r="U6" s="191">
        <v>33.0708661417323</v>
      </c>
      <c r="V6" s="191">
        <v>38.3186705767351</v>
      </c>
      <c r="W6" s="191">
        <v>40.4618473895582</v>
      </c>
    </row>
    <row r="7" spans="11:23">
      <c r="K7" t="s">
        <v>250</v>
      </c>
      <c r="L7" s="191">
        <v>6.20689655172414</v>
      </c>
      <c r="M7" s="191">
        <v>0</v>
      </c>
      <c r="N7" s="191">
        <v>0</v>
      </c>
      <c r="O7" s="191">
        <v>0</v>
      </c>
      <c r="P7" s="191">
        <v>0</v>
      </c>
      <c r="Q7" s="191">
        <v>0</v>
      </c>
      <c r="R7" s="191">
        <v>0</v>
      </c>
      <c r="S7" s="191">
        <v>0</v>
      </c>
      <c r="T7" s="191">
        <v>0</v>
      </c>
      <c r="U7" s="191">
        <v>0</v>
      </c>
      <c r="V7" s="191">
        <v>0</v>
      </c>
      <c r="W7" s="191">
        <v>0</v>
      </c>
    </row>
    <row r="8" spans="11:23">
      <c r="K8" t="s">
        <v>637</v>
      </c>
      <c r="L8" s="191">
        <v>1.97044334975369</v>
      </c>
      <c r="M8" s="191">
        <v>2.01005025125628</v>
      </c>
      <c r="N8" s="191">
        <v>1</v>
      </c>
      <c r="O8" s="191">
        <v>0</v>
      </c>
      <c r="P8" s="191">
        <v>0</v>
      </c>
      <c r="Q8" s="191">
        <v>2.11864406779661</v>
      </c>
      <c r="R8" s="191">
        <v>5.51977920883165</v>
      </c>
      <c r="S8" s="191">
        <v>4.33839479392625</v>
      </c>
      <c r="T8" s="191">
        <v>6.06060606060606</v>
      </c>
      <c r="U8" s="191">
        <v>0</v>
      </c>
      <c r="V8" s="191">
        <v>7.82013685239492</v>
      </c>
      <c r="W8" s="191">
        <v>10.0401606425703</v>
      </c>
    </row>
    <row r="9" spans="11:23">
      <c r="K9" t="s">
        <v>646</v>
      </c>
      <c r="L9">
        <v>33.8</v>
      </c>
      <c r="M9">
        <v>32.1</v>
      </c>
      <c r="N9">
        <v>33.3</v>
      </c>
      <c r="O9">
        <v>32.8</v>
      </c>
      <c r="P9">
        <v>33</v>
      </c>
      <c r="Q9">
        <v>33.7</v>
      </c>
      <c r="R9">
        <v>35.1</v>
      </c>
      <c r="S9">
        <v>30.7</v>
      </c>
      <c r="T9">
        <v>31.9</v>
      </c>
      <c r="U9">
        <v>29.6</v>
      </c>
      <c r="V9">
        <v>33</v>
      </c>
      <c r="W9">
        <v>32.1</v>
      </c>
    </row>
    <row r="22" spans="12:13">
      <c r="L22" t="s">
        <v>259</v>
      </c>
      <c r="M22" t="s">
        <v>546</v>
      </c>
    </row>
    <row r="23" spans="11:13">
      <c r="K23" t="s">
        <v>177</v>
      </c>
      <c r="L23" s="218">
        <v>0.45</v>
      </c>
      <c r="M23" s="198">
        <v>0.2</v>
      </c>
    </row>
    <row r="24" spans="11:13">
      <c r="K24" t="s">
        <v>166</v>
      </c>
      <c r="L24" s="218">
        <v>0.53</v>
      </c>
      <c r="M24" s="218"/>
    </row>
    <row r="25" spans="11:13">
      <c r="K25" t="s">
        <v>167</v>
      </c>
      <c r="L25" s="218">
        <v>0.53</v>
      </c>
      <c r="M25" s="218">
        <v>0.32</v>
      </c>
    </row>
    <row r="26" spans="11:13">
      <c r="K26" t="s">
        <v>168</v>
      </c>
      <c r="L26" s="218">
        <v>0.65</v>
      </c>
      <c r="M26" s="218"/>
    </row>
    <row r="27" spans="11:13">
      <c r="K27" t="s">
        <v>169</v>
      </c>
      <c r="L27" s="218">
        <v>0.6</v>
      </c>
      <c r="M27" s="218"/>
    </row>
    <row r="28" spans="11:13">
      <c r="K28" t="s">
        <v>170</v>
      </c>
      <c r="L28" s="218">
        <v>0.59</v>
      </c>
      <c r="M28" s="218">
        <v>0.26</v>
      </c>
    </row>
    <row r="29" spans="11:13">
      <c r="K29" t="s">
        <v>171</v>
      </c>
      <c r="L29" s="218">
        <v>0.45</v>
      </c>
      <c r="M29" s="218">
        <v>0.22</v>
      </c>
    </row>
    <row r="30" spans="11:13">
      <c r="K30" t="s">
        <v>172</v>
      </c>
      <c r="L30" s="218">
        <v>0.44</v>
      </c>
      <c r="M30" s="218">
        <v>0.23</v>
      </c>
    </row>
    <row r="31" spans="11:13">
      <c r="K31" t="s">
        <v>173</v>
      </c>
      <c r="L31" s="218">
        <v>0.34</v>
      </c>
      <c r="M31" s="218">
        <v>0.29</v>
      </c>
    </row>
    <row r="32" spans="11:13">
      <c r="K32" t="s">
        <v>174</v>
      </c>
      <c r="L32" s="218">
        <v>0.57</v>
      </c>
      <c r="M32" s="218">
        <v>0.53</v>
      </c>
    </row>
    <row r="33" spans="11:13">
      <c r="K33" t="s">
        <v>175</v>
      </c>
      <c r="L33" s="218">
        <v>0.39</v>
      </c>
      <c r="M33" s="218">
        <v>0.25</v>
      </c>
    </row>
    <row r="34" spans="11:13">
      <c r="K34" t="s">
        <v>176</v>
      </c>
      <c r="L34" s="218">
        <v>0.39</v>
      </c>
      <c r="M34" s="218">
        <v>0.25</v>
      </c>
    </row>
    <row r="35" spans="12:12">
      <c r="L35">
        <f>AVERAGE(L23:L34)</f>
        <v>0.494166666666667</v>
      </c>
    </row>
    <row r="39" spans="2:2">
      <c r="B39" s="204" t="s">
        <v>647</v>
      </c>
    </row>
    <row r="40" spans="12:12">
      <c r="L40" t="s">
        <v>183</v>
      </c>
    </row>
    <row r="41" spans="11:12">
      <c r="K41" t="s">
        <v>177</v>
      </c>
      <c r="L41">
        <v>98.15</v>
      </c>
    </row>
    <row r="42" spans="11:12">
      <c r="K42" t="s">
        <v>166</v>
      </c>
      <c r="L42">
        <v>95.59</v>
      </c>
    </row>
    <row r="43" spans="11:12">
      <c r="K43" t="s">
        <v>167</v>
      </c>
      <c r="L43">
        <v>98.91</v>
      </c>
    </row>
    <row r="44" spans="11:12">
      <c r="K44" t="s">
        <v>168</v>
      </c>
      <c r="L44">
        <v>98.58</v>
      </c>
    </row>
    <row r="45" spans="11:12">
      <c r="K45" t="s">
        <v>169</v>
      </c>
      <c r="L45">
        <v>99.27</v>
      </c>
    </row>
    <row r="46" spans="11:12">
      <c r="K46" t="s">
        <v>170</v>
      </c>
      <c r="L46">
        <v>99.33</v>
      </c>
    </row>
    <row r="47" spans="11:12">
      <c r="K47" t="s">
        <v>171</v>
      </c>
      <c r="L47">
        <v>95.91</v>
      </c>
    </row>
    <row r="48" spans="11:12">
      <c r="K48" t="s">
        <v>172</v>
      </c>
      <c r="L48">
        <v>92.09</v>
      </c>
    </row>
    <row r="49" spans="11:12">
      <c r="K49" t="s">
        <v>173</v>
      </c>
      <c r="L49">
        <v>97.72</v>
      </c>
    </row>
    <row r="50" spans="11:12">
      <c r="K50" t="s">
        <v>174</v>
      </c>
      <c r="L50">
        <v>94.63</v>
      </c>
    </row>
    <row r="51" spans="11:12">
      <c r="K51" t="s">
        <v>175</v>
      </c>
      <c r="L51">
        <v>98.33</v>
      </c>
    </row>
    <row r="52" spans="11:12">
      <c r="K52" t="s">
        <v>176</v>
      </c>
      <c r="L52">
        <v>92.87</v>
      </c>
    </row>
    <row r="53" spans="12:12">
      <c r="L53">
        <f>AVERAGE(L41:L52)</f>
        <v>96.7816666666667</v>
      </c>
    </row>
  </sheetData>
  <pageMargins left="0.7" right="0.7" top="0.787401575" bottom="0.787401575" header="0.3" footer="0.3"/>
  <pageSetup paperSize="9" orientation="portrait"/>
  <headerFooter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399975585192419"/>
  </sheetPr>
  <dimension ref="A1:P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635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750</v>
      </c>
      <c r="G3" s="22"/>
      <c r="H3" s="23" t="s">
        <v>187</v>
      </c>
      <c r="I3" s="5" t="s">
        <v>188</v>
      </c>
      <c r="J3" s="35">
        <v>5791435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f>F3*0.95</f>
        <v>712.5</v>
      </c>
      <c r="G4" s="184"/>
      <c r="H4" s="25" t="s">
        <v>187</v>
      </c>
      <c r="I4" s="7" t="s">
        <v>191</v>
      </c>
      <c r="J4" s="37">
        <v>1469000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221"/>
      <c r="G5" s="221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78.4013962327898</v>
      </c>
      <c r="H6" s="27" t="s">
        <v>195</v>
      </c>
      <c r="I6" s="1"/>
      <c r="J6" s="40">
        <v>1000935.8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21.5986037672102</v>
      </c>
      <c r="H7" s="27" t="s">
        <v>195</v>
      </c>
      <c r="I7" s="1"/>
      <c r="J7" s="40">
        <v>275745.29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4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1276681.09</v>
      </c>
      <c r="K9" s="43" t="s">
        <v>196</v>
      </c>
      <c r="L9" s="12"/>
      <c r="N9" t="s">
        <v>77</v>
      </c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72.1966032079592</v>
      </c>
      <c r="H11" s="27" t="s">
        <v>195</v>
      </c>
      <c r="I11" s="1"/>
      <c r="J11" s="40">
        <v>365080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35</v>
      </c>
      <c r="F13" s="15" t="s">
        <v>204</v>
      </c>
      <c r="G13" s="31"/>
      <c r="H13" s="15"/>
      <c r="I13" s="15"/>
      <c r="J13" s="45">
        <v>279755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25</v>
      </c>
      <c r="F14" s="15" t="s">
        <v>204</v>
      </c>
      <c r="G14" s="31"/>
      <c r="H14" s="15"/>
      <c r="I14" s="15"/>
      <c r="J14" s="45">
        <v>85325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726">
        <v>0</v>
      </c>
      <c r="F15" s="15" t="s">
        <v>204</v>
      </c>
      <c r="G15" s="31"/>
      <c r="H15" s="15"/>
      <c r="I15" s="15"/>
      <c r="J15" s="727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2.98610909510295</v>
      </c>
      <c r="H16" s="27" t="s">
        <v>195</v>
      </c>
      <c r="I16" s="1"/>
      <c r="J16" s="40">
        <v>15100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0.988777846060579</v>
      </c>
      <c r="H17" s="27" t="s">
        <v>195</v>
      </c>
      <c r="I17" s="1"/>
      <c r="J17" s="40">
        <v>5000</v>
      </c>
      <c r="K17" s="41" t="s">
        <v>196</v>
      </c>
      <c r="L17" s="1"/>
    </row>
    <row r="18" ht="21.75" customHeight="1" spans="1:14">
      <c r="A18" s="1"/>
      <c r="B18" s="11"/>
      <c r="C18" s="1" t="s">
        <v>209</v>
      </c>
      <c r="D18" s="1"/>
      <c r="E18" s="1"/>
      <c r="F18" s="1"/>
      <c r="G18" s="26">
        <v>15.4456512719757</v>
      </c>
      <c r="H18" s="27" t="s">
        <v>195</v>
      </c>
      <c r="I18" s="1"/>
      <c r="J18" s="40">
        <v>78104.76</v>
      </c>
      <c r="K18" s="41" t="s">
        <v>196</v>
      </c>
      <c r="L18" s="1"/>
      <c r="N18" t="s">
        <v>77</v>
      </c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8.38285857890159</v>
      </c>
      <c r="H19" s="27" t="s">
        <v>195</v>
      </c>
      <c r="I19" s="1"/>
      <c r="J19" s="40">
        <v>42570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648</v>
      </c>
      <c r="E22" s="15"/>
      <c r="F22" s="15"/>
      <c r="G22" s="33"/>
      <c r="H22" s="17"/>
      <c r="I22" s="17"/>
      <c r="J22" s="45">
        <v>0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6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  <c r="P24" t="s">
        <v>77</v>
      </c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5500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2500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11390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20180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4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3000</v>
      </c>
      <c r="K31" s="44" t="s">
        <v>196</v>
      </c>
      <c r="L31" s="15"/>
      <c r="N31" t="s">
        <v>77</v>
      </c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505854.76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22.0442962754481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8.73453228776633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13.3097639876818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770826.33</v>
      </c>
      <c r="K37" s="43" t="s">
        <v>196</v>
      </c>
      <c r="L37" s="12"/>
    </row>
    <row r="38" ht="21.75" customHeight="1" spans="1:12">
      <c r="A38" s="1"/>
      <c r="B38" s="1" t="s">
        <v>649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A1:T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2" width="12.6634615384615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8">
      <c r="A2" s="157"/>
      <c r="B2" s="49" t="s">
        <v>650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  <c r="N2" s="722" t="s">
        <v>651</v>
      </c>
      <c r="O2" s="722"/>
      <c r="P2" s="722"/>
      <c r="Q2" s="722"/>
      <c r="R2" s="722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3</v>
      </c>
      <c r="D4" s="96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186">
        <v>38504</v>
      </c>
      <c r="D5" s="96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652</v>
      </c>
      <c r="D6" s="9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369</v>
      </c>
      <c r="D7" s="96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8" t="s">
        <v>11</v>
      </c>
      <c r="D8" s="96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5" t="s">
        <v>13</v>
      </c>
      <c r="D9" s="9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5" t="s">
        <v>653</v>
      </c>
      <c r="D10" s="9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78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78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2</v>
      </c>
      <c r="E14" s="68">
        <v>1</v>
      </c>
      <c r="F14" s="78"/>
      <c r="G14" s="68"/>
      <c r="H14" s="64"/>
      <c r="I14" s="57" t="s">
        <v>248</v>
      </c>
      <c r="J14" s="64"/>
      <c r="K14" s="161">
        <v>11320</v>
      </c>
      <c r="L14" s="114" t="s">
        <v>28</v>
      </c>
      <c r="M14" s="723" t="s">
        <v>654</v>
      </c>
    </row>
    <row r="15" ht="15" customHeight="1" spans="1:13">
      <c r="A15" s="157"/>
      <c r="B15" s="66" t="s">
        <v>54</v>
      </c>
      <c r="C15" s="64" t="s">
        <v>55</v>
      </c>
      <c r="D15" s="69">
        <f>1885*2</f>
        <v>3770</v>
      </c>
      <c r="E15" s="69">
        <v>1885</v>
      </c>
      <c r="F15" s="78"/>
      <c r="G15" s="69"/>
      <c r="H15" s="98">
        <f>SUM(D15:E15)</f>
        <v>5655</v>
      </c>
      <c r="I15" s="57" t="s">
        <v>249</v>
      </c>
      <c r="J15" s="64"/>
      <c r="K15" s="162">
        <v>31.0147945205479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f>1800*2</f>
        <v>3600</v>
      </c>
      <c r="E16" s="69">
        <v>1800</v>
      </c>
      <c r="F16" s="78"/>
      <c r="G16" s="69"/>
      <c r="H16" s="98">
        <f>SUM(D16:E16)</f>
        <v>5400</v>
      </c>
      <c r="I16" s="56" t="s">
        <v>157</v>
      </c>
      <c r="J16" s="56"/>
      <c r="K16" s="163">
        <v>1.61224598267279</v>
      </c>
      <c r="L16" s="118" t="s">
        <v>59</v>
      </c>
      <c r="M16" s="725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8"/>
      <c r="G17" s="70"/>
      <c r="H17" s="98"/>
      <c r="I17" s="56" t="s">
        <v>437</v>
      </c>
      <c r="J17" s="56"/>
      <c r="K17" s="164">
        <v>4.20335559768262</v>
      </c>
      <c r="L17" s="118" t="s">
        <v>59</v>
      </c>
      <c r="M17" s="195"/>
    </row>
    <row r="18" ht="15" customHeight="1" spans="1:13">
      <c r="A18" s="157"/>
      <c r="B18" s="57" t="s">
        <v>66</v>
      </c>
      <c r="C18" s="56" t="s">
        <v>55</v>
      </c>
      <c r="D18" s="71" t="s">
        <v>288</v>
      </c>
      <c r="E18" s="71" t="s">
        <v>288</v>
      </c>
      <c r="F18" s="78"/>
      <c r="G18" s="71"/>
      <c r="H18" s="98">
        <v>0</v>
      </c>
      <c r="I18" s="56" t="s">
        <v>58</v>
      </c>
      <c r="J18" s="56"/>
      <c r="K18" s="164">
        <v>76</v>
      </c>
      <c r="L18" s="118" t="s">
        <v>59</v>
      </c>
      <c r="M18" s="195"/>
    </row>
    <row r="19" ht="15" customHeight="1" spans="1:13">
      <c r="A19" s="157"/>
      <c r="B19" s="57"/>
      <c r="C19" s="56"/>
      <c r="D19" s="70"/>
      <c r="E19" s="70"/>
      <c r="F19" s="99"/>
      <c r="G19" s="70"/>
      <c r="H19" s="100"/>
      <c r="I19" s="56" t="s">
        <v>155</v>
      </c>
      <c r="J19" s="56"/>
      <c r="K19" s="164">
        <v>2.3</v>
      </c>
      <c r="L19" s="118" t="s">
        <v>59</v>
      </c>
      <c r="M19" s="195"/>
    </row>
    <row r="20" ht="15" customHeight="1" spans="1:13">
      <c r="A20" s="157"/>
      <c r="B20" s="72" t="s">
        <v>69</v>
      </c>
      <c r="C20" s="73"/>
      <c r="D20" s="74"/>
      <c r="E20" s="74"/>
      <c r="F20" s="78"/>
      <c r="G20" s="74"/>
      <c r="H20" s="101"/>
      <c r="I20" s="56" t="s">
        <v>67</v>
      </c>
      <c r="J20" s="56"/>
      <c r="K20" s="164">
        <v>12.8</v>
      </c>
      <c r="L20" s="118" t="s">
        <v>59</v>
      </c>
      <c r="M20" s="195"/>
    </row>
    <row r="21" ht="15" customHeight="1" spans="1:13">
      <c r="A21" s="157"/>
      <c r="B21" s="66" t="s">
        <v>71</v>
      </c>
      <c r="C21" s="64" t="s">
        <v>59</v>
      </c>
      <c r="D21" s="75">
        <v>13.32025</v>
      </c>
      <c r="E21" s="75">
        <v>8.75022222222222</v>
      </c>
      <c r="F21" s="78"/>
      <c r="G21" s="77"/>
      <c r="H21" s="102"/>
      <c r="I21" s="56" t="s">
        <v>655</v>
      </c>
      <c r="J21" s="56"/>
      <c r="K21" s="164">
        <v>3.06503906596035</v>
      </c>
      <c r="L21" s="118" t="s">
        <v>59</v>
      </c>
      <c r="M21" s="195"/>
    </row>
    <row r="22" ht="15" customHeight="1" spans="1:13">
      <c r="A22" s="157"/>
      <c r="B22" s="66" t="s">
        <v>73</v>
      </c>
      <c r="C22" s="64" t="s">
        <v>59</v>
      </c>
      <c r="D22" s="75">
        <v>81.1</v>
      </c>
      <c r="E22" s="75">
        <v>78.7</v>
      </c>
      <c r="F22" s="78"/>
      <c r="G22" s="77"/>
      <c r="H22" s="78"/>
      <c r="I22" s="57"/>
      <c r="J22" s="56"/>
      <c r="K22" s="164"/>
      <c r="L22" s="118"/>
      <c r="M22" s="195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78"/>
      <c r="G23" s="78"/>
      <c r="H23" s="75" t="s">
        <v>357</v>
      </c>
      <c r="I23" s="125" t="s">
        <v>76</v>
      </c>
      <c r="J23" s="56"/>
      <c r="K23" s="165"/>
      <c r="L23" s="118"/>
      <c r="M23" s="195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78"/>
      <c r="G24" s="78"/>
      <c r="H24" s="77" t="s">
        <v>656</v>
      </c>
      <c r="I24" s="127" t="s">
        <v>80</v>
      </c>
      <c r="J24" s="56"/>
      <c r="K24" s="163">
        <v>42.3097129893189</v>
      </c>
      <c r="L24" s="118" t="s">
        <v>59</v>
      </c>
      <c r="M24" s="195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8"/>
      <c r="G25" s="77"/>
      <c r="H25" s="77" t="s">
        <v>657</v>
      </c>
      <c r="I25" s="128" t="s">
        <v>83</v>
      </c>
      <c r="J25" s="56"/>
      <c r="K25" s="163">
        <v>96.0050456680256</v>
      </c>
      <c r="L25" s="118" t="s">
        <v>59</v>
      </c>
      <c r="M25" s="195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8" t="s">
        <v>360</v>
      </c>
      <c r="I26" s="57" t="s">
        <v>86</v>
      </c>
      <c r="J26" s="56"/>
      <c r="K26" s="163">
        <v>82.9</v>
      </c>
      <c r="L26" s="118" t="s">
        <v>59</v>
      </c>
      <c r="M26" s="195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298</v>
      </c>
      <c r="I27" s="129"/>
      <c r="J27" s="130"/>
      <c r="K27" s="130"/>
      <c r="L27" s="167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238</v>
      </c>
      <c r="I28" s="63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8.1045</v>
      </c>
      <c r="E29" s="75">
        <v>8</v>
      </c>
      <c r="F29" s="78"/>
      <c r="G29" s="80"/>
      <c r="H29" s="78"/>
      <c r="I29" s="66" t="s">
        <v>26</v>
      </c>
      <c r="J29" s="64"/>
      <c r="K29" s="64">
        <v>1</v>
      </c>
      <c r="L29" s="114"/>
    </row>
    <row r="30" ht="15" customHeight="1" spans="1:12">
      <c r="A30" s="157"/>
      <c r="B30" s="66" t="s">
        <v>94</v>
      </c>
      <c r="C30" s="56" t="s">
        <v>95</v>
      </c>
      <c r="D30" s="77">
        <v>49</v>
      </c>
      <c r="E30" s="78">
        <v>37</v>
      </c>
      <c r="F30" s="78"/>
      <c r="G30" s="77"/>
      <c r="H30" s="78"/>
      <c r="I30" s="66" t="s">
        <v>96</v>
      </c>
      <c r="J30" s="92"/>
      <c r="K30" s="92">
        <v>1800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3.4</v>
      </c>
      <c r="E31" s="75">
        <v>3.7</v>
      </c>
      <c r="F31" s="78"/>
      <c r="G31" s="80"/>
      <c r="H31" s="78"/>
      <c r="I31" s="66" t="s">
        <v>99</v>
      </c>
      <c r="J31" s="92"/>
      <c r="K31" s="92">
        <v>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7.3</v>
      </c>
      <c r="E32" s="75">
        <v>5.8</v>
      </c>
      <c r="F32" s="78"/>
      <c r="G32" s="80"/>
      <c r="H32" s="78"/>
      <c r="I32" s="66" t="s">
        <v>66</v>
      </c>
      <c r="J32" s="92"/>
      <c r="K32" s="92">
        <v>600</v>
      </c>
      <c r="L32" s="114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742</v>
      </c>
      <c r="E33" s="77">
        <v>306</v>
      </c>
      <c r="F33" s="78"/>
      <c r="G33" s="80"/>
      <c r="H33" s="78"/>
      <c r="I33" s="57" t="s">
        <v>103</v>
      </c>
      <c r="J33" s="64"/>
      <c r="K33" s="194" t="s">
        <v>658</v>
      </c>
      <c r="L33" s="114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0.33</v>
      </c>
      <c r="E34" s="80">
        <v>0.226142857142857</v>
      </c>
      <c r="F34" s="78"/>
      <c r="G34" s="80"/>
      <c r="H34" s="78"/>
      <c r="I34" s="66" t="s">
        <v>105</v>
      </c>
      <c r="J34" s="64"/>
      <c r="K34" s="194">
        <v>8.465875</v>
      </c>
      <c r="L34" s="114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94">
        <v>78.6285</v>
      </c>
      <c r="L35" s="114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70"/>
      <c r="L36" s="167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56</v>
      </c>
      <c r="E39" s="64"/>
      <c r="F39" s="64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50.4761590985334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78" t="s">
        <v>116</v>
      </c>
      <c r="L41" s="103">
        <v>47.7063998795359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78" t="s">
        <v>120</v>
      </c>
      <c r="L42" s="103">
        <v>0.646303943254249</v>
      </c>
    </row>
    <row r="43" ht="15" customHeight="1" spans="1:12">
      <c r="A43" s="157"/>
      <c r="B43" s="66" t="s">
        <v>121</v>
      </c>
      <c r="C43" s="64" t="s">
        <v>122</v>
      </c>
      <c r="D43" s="77">
        <v>400</v>
      </c>
      <c r="E43" s="77">
        <v>400</v>
      </c>
      <c r="F43" s="77" t="s">
        <v>72</v>
      </c>
      <c r="G43" s="78"/>
      <c r="H43" s="102"/>
      <c r="I43" s="66"/>
      <c r="J43" s="64" t="s">
        <v>123</v>
      </c>
      <c r="K43" s="172" t="s">
        <v>124</v>
      </c>
      <c r="L43" s="103">
        <v>44.2061518570417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431.578947368421</v>
      </c>
      <c r="E44" s="77">
        <f>E43/E45*E46</f>
        <v>431.578947368421</v>
      </c>
      <c r="F44" s="77" t="s">
        <v>72</v>
      </c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38</v>
      </c>
      <c r="E45" s="78">
        <v>38</v>
      </c>
      <c r="F45" s="77" t="s">
        <v>72</v>
      </c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41</v>
      </c>
      <c r="E46" s="78">
        <v>41</v>
      </c>
      <c r="F46" s="77" t="s">
        <v>72</v>
      </c>
      <c r="G46" s="78"/>
      <c r="H46" s="102"/>
      <c r="I46" s="66"/>
      <c r="J46" s="64" t="s">
        <v>131</v>
      </c>
      <c r="K46" s="77">
        <v>311</v>
      </c>
      <c r="L46" s="174">
        <f>K46*L40/100</f>
        <v>156.980854796439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7" t="s">
        <v>72</v>
      </c>
      <c r="G47" s="78"/>
      <c r="H47" s="102"/>
      <c r="I47" s="66"/>
      <c r="J47" s="64" t="s">
        <v>134</v>
      </c>
      <c r="K47" s="77">
        <f>(K14*K46)/(K14*K24%*K25%)</f>
        <v>765.642885288205</v>
      </c>
      <c r="L47" s="174">
        <f>(K14*L46)/(K14*K24%*K25%)</f>
        <v>386.467120904676</v>
      </c>
    </row>
    <row r="48" ht="15" customHeight="1" spans="1:13">
      <c r="A48" s="157"/>
      <c r="B48" s="66" t="s">
        <v>135</v>
      </c>
      <c r="C48" s="64" t="s">
        <v>240</v>
      </c>
      <c r="D48" s="77"/>
      <c r="E48" s="77"/>
      <c r="F48" s="77" t="s">
        <v>72</v>
      </c>
      <c r="G48" s="78"/>
      <c r="H48" s="102"/>
      <c r="I48" s="148" t="s">
        <v>137</v>
      </c>
      <c r="J48" s="64"/>
      <c r="K48" s="77"/>
      <c r="L48" s="114"/>
      <c r="M48" s="724"/>
    </row>
    <row r="49" ht="15" customHeight="1" spans="1:12">
      <c r="A49" s="157"/>
      <c r="B49" s="57" t="s">
        <v>138</v>
      </c>
      <c r="C49" s="64" t="s">
        <v>240</v>
      </c>
      <c r="D49" s="69">
        <f>8760*D50/100</f>
        <v>7721.94</v>
      </c>
      <c r="E49" s="69">
        <f>8760*E50/100</f>
        <v>7917.288</v>
      </c>
      <c r="F49" s="77" t="s">
        <v>72</v>
      </c>
      <c r="G49" s="78"/>
      <c r="H49" s="102"/>
      <c r="I49" s="66"/>
      <c r="J49" s="64" t="s">
        <v>139</v>
      </c>
      <c r="K49" s="69">
        <v>17234</v>
      </c>
      <c r="L49" s="98"/>
    </row>
    <row r="50" ht="15" customHeight="1" spans="1:20">
      <c r="A50" s="157"/>
      <c r="B50" s="57" t="s">
        <v>140</v>
      </c>
      <c r="C50" s="64" t="s">
        <v>59</v>
      </c>
      <c r="D50" s="75">
        <v>88.15</v>
      </c>
      <c r="E50" s="75">
        <v>90.38</v>
      </c>
      <c r="F50" s="77" t="s">
        <v>72</v>
      </c>
      <c r="G50" s="78"/>
      <c r="H50" s="102"/>
      <c r="I50" s="66"/>
      <c r="J50" s="64" t="s">
        <v>141</v>
      </c>
      <c r="K50" s="77">
        <f>K49/K15</f>
        <v>555.670294335889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423087.89517168</v>
      </c>
      <c r="D55" s="69">
        <v>6.8</v>
      </c>
      <c r="E55" s="111" t="s">
        <v>147</v>
      </c>
      <c r="F55" s="64"/>
      <c r="G55" s="64" t="s">
        <v>148</v>
      </c>
      <c r="H55" s="64"/>
      <c r="I55" s="69"/>
      <c r="J55" s="69"/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643</v>
      </c>
      <c r="H56" s="64"/>
      <c r="I56" s="69">
        <v>4366664.44086022</v>
      </c>
      <c r="J56" s="69">
        <v>64.9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 t="s">
        <v>659</v>
      </c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1">
    <mergeCell ref="B2:L2"/>
  </mergeCells>
  <pageMargins left="0.7" right="0.7" top="0.787401575" bottom="0.787401575" header="0.3" footer="0.3"/>
  <headerFooter/>
  <ignoredErrors>
    <ignoredError sqref="D18:E18" numberStoredAsText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K3:W52"/>
  <sheetViews>
    <sheetView zoomScale="85" zoomScaleNormal="85" workbookViewId="0">
      <selection activeCell="A1" sqref="A1"/>
    </sheetView>
  </sheetViews>
  <sheetFormatPr defaultColWidth="11.5" defaultRowHeight="16.8"/>
  <cols>
    <col min="12" max="12" width="7.66346153846154" customWidth="1"/>
    <col min="13" max="18" width="6" customWidth="1"/>
    <col min="19" max="19" width="4.5" customWidth="1"/>
    <col min="20" max="20" width="7" customWidth="1"/>
    <col min="21" max="21" width="5" customWidth="1"/>
    <col min="22" max="23" width="6" customWidth="1"/>
  </cols>
  <sheetData>
    <row r="3" spans="17:17">
      <c r="Q3">
        <v>100</v>
      </c>
    </row>
    <row r="6" spans="12:23">
      <c r="L6" s="218" t="s">
        <v>177</v>
      </c>
      <c r="M6" s="218" t="s">
        <v>166</v>
      </c>
      <c r="N6" s="218" t="s">
        <v>167</v>
      </c>
      <c r="O6" s="218" t="s">
        <v>168</v>
      </c>
      <c r="P6" s="218" t="s">
        <v>169</v>
      </c>
      <c r="Q6" s="218" t="s">
        <v>170</v>
      </c>
      <c r="R6" s="218" t="s">
        <v>171</v>
      </c>
      <c r="S6" s="218" t="s">
        <v>172</v>
      </c>
      <c r="T6" s="218" t="s">
        <v>173</v>
      </c>
      <c r="U6" s="218" t="s">
        <v>174</v>
      </c>
      <c r="V6" s="218" t="s">
        <v>175</v>
      </c>
      <c r="W6" s="218" t="s">
        <v>176</v>
      </c>
    </row>
    <row r="7" spans="11:23">
      <c r="K7" t="s">
        <v>58</v>
      </c>
      <c r="L7" s="155">
        <v>80.3708729</v>
      </c>
      <c r="M7" s="155">
        <v>94.2068106</v>
      </c>
      <c r="N7" s="155">
        <v>93.6618949</v>
      </c>
      <c r="O7" s="155">
        <v>77.4250889</v>
      </c>
      <c r="P7" s="155">
        <v>74.9906867</v>
      </c>
      <c r="Q7" s="155">
        <v>75.3742901</v>
      </c>
      <c r="R7" s="155">
        <v>67.256453</v>
      </c>
      <c r="S7" s="155">
        <v>64.9847095</v>
      </c>
      <c r="T7" s="155">
        <v>62.7321694</v>
      </c>
      <c r="U7" s="155">
        <v>77.8221778</v>
      </c>
      <c r="V7" s="155">
        <v>79.8339388</v>
      </c>
      <c r="W7" s="155">
        <v>65.9362954</v>
      </c>
    </row>
    <row r="8" spans="11:23">
      <c r="K8" t="s">
        <v>67</v>
      </c>
      <c r="L8" s="155">
        <v>14.7444595</v>
      </c>
      <c r="M8" s="155">
        <v>0</v>
      </c>
      <c r="N8" s="155">
        <v>0</v>
      </c>
      <c r="O8" s="155">
        <v>0</v>
      </c>
      <c r="P8" s="155">
        <v>0</v>
      </c>
      <c r="Q8" s="155">
        <v>0</v>
      </c>
      <c r="R8" s="155">
        <v>16.6527893</v>
      </c>
      <c r="S8" s="155">
        <v>28.2874618</v>
      </c>
      <c r="T8" s="155">
        <v>32.0858098</v>
      </c>
      <c r="U8" s="155">
        <v>16.7832168</v>
      </c>
      <c r="V8" s="155">
        <v>10.2231448</v>
      </c>
      <c r="W8" s="155">
        <v>23.7370663</v>
      </c>
    </row>
    <row r="9" spans="11:23">
      <c r="K9" t="s">
        <v>157</v>
      </c>
      <c r="L9" s="155">
        <v>0</v>
      </c>
      <c r="M9" s="155">
        <v>0</v>
      </c>
      <c r="N9" s="155">
        <v>0</v>
      </c>
      <c r="O9" s="155">
        <v>0</v>
      </c>
      <c r="P9" s="155">
        <v>0</v>
      </c>
      <c r="Q9" s="155">
        <v>3.871967</v>
      </c>
      <c r="R9" s="155">
        <v>6.8692756</v>
      </c>
      <c r="S9" s="155">
        <v>0</v>
      </c>
      <c r="T9" s="155">
        <v>0</v>
      </c>
      <c r="U9" s="155">
        <v>0</v>
      </c>
      <c r="V9" s="155">
        <v>4.1515309</v>
      </c>
      <c r="W9" s="155">
        <v>4.6662609</v>
      </c>
    </row>
    <row r="10" spans="11:23">
      <c r="K10" t="s">
        <v>655</v>
      </c>
      <c r="L10" s="155">
        <v>0</v>
      </c>
      <c r="M10" s="155">
        <v>0</v>
      </c>
      <c r="N10" s="155">
        <v>0.4371107</v>
      </c>
      <c r="O10" s="155">
        <v>15.4900965</v>
      </c>
      <c r="P10" s="155">
        <v>15.3979883</v>
      </c>
      <c r="Q10" s="155">
        <v>11.3577697</v>
      </c>
      <c r="R10" s="155">
        <v>0.8326395</v>
      </c>
      <c r="S10" s="155">
        <v>0</v>
      </c>
      <c r="T10" s="155">
        <v>0</v>
      </c>
      <c r="U10" s="155">
        <v>0</v>
      </c>
      <c r="V10" s="155">
        <v>0</v>
      </c>
      <c r="W10" s="155">
        <v>0</v>
      </c>
    </row>
    <row r="11" spans="11:23">
      <c r="K11" t="s">
        <v>660</v>
      </c>
      <c r="L11" s="155">
        <v>3.5278155</v>
      </c>
      <c r="M11" s="155">
        <v>4.1839701</v>
      </c>
      <c r="N11" s="155">
        <v>4.2618293</v>
      </c>
      <c r="O11" s="155">
        <v>5.1168106</v>
      </c>
      <c r="P11" s="155">
        <v>5.0043462</v>
      </c>
      <c r="Q11" s="155">
        <v>4.6979866</v>
      </c>
      <c r="R11" s="155">
        <v>4.1944213</v>
      </c>
      <c r="S11" s="155">
        <v>3.9755352</v>
      </c>
      <c r="T11" s="155">
        <v>3.7425706</v>
      </c>
      <c r="U11" s="155">
        <v>3.8961039</v>
      </c>
      <c r="V11" s="155">
        <v>4.1826674</v>
      </c>
      <c r="W11" s="155">
        <v>4.0880503</v>
      </c>
    </row>
    <row r="12" spans="11:23">
      <c r="K12" t="s">
        <v>155</v>
      </c>
      <c r="L12" s="155">
        <v>1.3568521</v>
      </c>
      <c r="M12" s="155">
        <v>1.6092193</v>
      </c>
      <c r="N12" s="155">
        <v>1.6391651</v>
      </c>
      <c r="O12" s="155">
        <v>1.9680041</v>
      </c>
      <c r="P12" s="155">
        <v>4.6069788</v>
      </c>
      <c r="Q12" s="155">
        <v>4.6979866</v>
      </c>
      <c r="R12" s="155">
        <v>4.1944213</v>
      </c>
      <c r="S12" s="155">
        <v>2.7522936</v>
      </c>
      <c r="T12" s="155">
        <v>1.4394502</v>
      </c>
      <c r="U12" s="155">
        <v>1.4985015</v>
      </c>
      <c r="V12" s="155">
        <v>1.6087182</v>
      </c>
      <c r="W12" s="155">
        <v>1.572327</v>
      </c>
    </row>
    <row r="13" spans="11:23">
      <c r="K13" t="s">
        <v>661</v>
      </c>
      <c r="L13">
        <v>36.85</v>
      </c>
      <c r="M13">
        <v>31.0709677419355</v>
      </c>
      <c r="N13">
        <v>30.5033333333333</v>
      </c>
      <c r="O13">
        <v>25.4064516129032</v>
      </c>
      <c r="P13">
        <v>25.9774193548387</v>
      </c>
      <c r="Q13">
        <v>27.6714285714286</v>
      </c>
      <c r="R13">
        <v>30.9935483870968</v>
      </c>
      <c r="S13">
        <v>32.7</v>
      </c>
      <c r="T13">
        <v>34.7354838709677</v>
      </c>
      <c r="U13">
        <v>33.3666666666667</v>
      </c>
      <c r="V13">
        <v>31.0806451612903</v>
      </c>
      <c r="W13">
        <v>31.8</v>
      </c>
    </row>
    <row r="15" spans="12:23">
      <c r="L15" s="218"/>
      <c r="M15" s="218"/>
      <c r="N15" s="218"/>
      <c r="O15" s="218"/>
      <c r="P15" s="218"/>
      <c r="Q15" s="218"/>
      <c r="R15" s="218"/>
      <c r="S15" s="218"/>
      <c r="T15" s="218"/>
      <c r="U15" s="218"/>
      <c r="V15" s="218"/>
      <c r="W15" s="218"/>
    </row>
    <row r="23" spans="12:13">
      <c r="L23" t="s">
        <v>259</v>
      </c>
      <c r="M23" t="s">
        <v>546</v>
      </c>
    </row>
    <row r="24" spans="11:13">
      <c r="K24" s="218" t="s">
        <v>177</v>
      </c>
      <c r="L24">
        <v>0.3</v>
      </c>
      <c r="M24">
        <v>0.25</v>
      </c>
    </row>
    <row r="25" spans="11:12">
      <c r="K25" s="218" t="s">
        <v>166</v>
      </c>
      <c r="L25">
        <v>0.32</v>
      </c>
    </row>
    <row r="26" spans="11:12">
      <c r="K26" s="218" t="s">
        <v>167</v>
      </c>
      <c r="L26">
        <v>0.4</v>
      </c>
    </row>
    <row r="27" spans="11:13">
      <c r="K27" s="218" t="s">
        <v>168</v>
      </c>
      <c r="L27">
        <v>0.36</v>
      </c>
      <c r="M27">
        <v>0.36</v>
      </c>
    </row>
    <row r="28" spans="11:12">
      <c r="K28" s="218" t="s">
        <v>169</v>
      </c>
      <c r="L28">
        <v>0.35</v>
      </c>
    </row>
    <row r="29" spans="11:13">
      <c r="K29" s="218" t="s">
        <v>170</v>
      </c>
      <c r="L29">
        <v>0.29</v>
      </c>
      <c r="M29">
        <v>0.19</v>
      </c>
    </row>
    <row r="30" spans="11:13">
      <c r="K30" s="218" t="s">
        <v>171</v>
      </c>
      <c r="L30">
        <v>0.28</v>
      </c>
      <c r="M30">
        <v>0.19</v>
      </c>
    </row>
    <row r="31" spans="11:12">
      <c r="K31" s="218" t="s">
        <v>172</v>
      </c>
      <c r="L31">
        <v>0.27</v>
      </c>
    </row>
    <row r="32" spans="11:13">
      <c r="K32" s="218" t="s">
        <v>173</v>
      </c>
      <c r="L32">
        <v>0.26</v>
      </c>
      <c r="M32">
        <v>0.22</v>
      </c>
    </row>
    <row r="33" spans="11:12">
      <c r="K33" s="218" t="s">
        <v>174</v>
      </c>
      <c r="L33">
        <v>0.26</v>
      </c>
    </row>
    <row r="34" spans="11:13">
      <c r="K34" s="218" t="s">
        <v>175</v>
      </c>
      <c r="L34">
        <v>0.39</v>
      </c>
      <c r="M34">
        <v>0.19</v>
      </c>
    </row>
    <row r="35" spans="11:13">
      <c r="K35" s="218" t="s">
        <v>176</v>
      </c>
      <c r="L35">
        <v>0.45</v>
      </c>
      <c r="M35">
        <v>0.18</v>
      </c>
    </row>
    <row r="39" spans="13:13">
      <c r="M39">
        <v>100</v>
      </c>
    </row>
    <row r="40" spans="12:13">
      <c r="L40" t="s">
        <v>183</v>
      </c>
      <c r="M40" t="s">
        <v>184</v>
      </c>
    </row>
    <row r="41" spans="11:13">
      <c r="K41" s="218" t="s">
        <v>177</v>
      </c>
      <c r="L41">
        <v>90.4583333</v>
      </c>
      <c r="M41" s="191">
        <v>74.0200349</v>
      </c>
    </row>
    <row r="42" spans="11:13">
      <c r="K42" s="218" t="s">
        <v>166</v>
      </c>
      <c r="L42">
        <v>90.1491935</v>
      </c>
      <c r="M42" s="191">
        <v>75.7582578</v>
      </c>
    </row>
    <row r="43" spans="11:13">
      <c r="K43" s="218" t="s">
        <v>167</v>
      </c>
      <c r="L43">
        <v>90.1625</v>
      </c>
      <c r="M43" s="191">
        <v>66.399196</v>
      </c>
    </row>
    <row r="44" spans="11:13">
      <c r="K44" s="218" t="s">
        <v>168</v>
      </c>
      <c r="L44">
        <v>90.1975806</v>
      </c>
      <c r="M44" s="191">
        <v>67.2548893</v>
      </c>
    </row>
    <row r="45" spans="11:13">
      <c r="K45" s="218" t="s">
        <v>169</v>
      </c>
      <c r="L45">
        <v>89.8629032</v>
      </c>
      <c r="M45" s="191">
        <v>59.3132086</v>
      </c>
    </row>
    <row r="46" spans="11:13">
      <c r="K46" s="218" t="s">
        <v>170</v>
      </c>
      <c r="L46">
        <v>86.7455357</v>
      </c>
      <c r="M46" s="191">
        <v>59.4095775</v>
      </c>
    </row>
    <row r="47" spans="11:13">
      <c r="K47" s="218" t="s">
        <v>171</v>
      </c>
      <c r="L47">
        <v>88.8548387</v>
      </c>
      <c r="M47" s="191">
        <v>58.9607158</v>
      </c>
    </row>
    <row r="48" spans="11:13">
      <c r="K48" s="218" t="s">
        <v>172</v>
      </c>
      <c r="L48">
        <v>89.0541667</v>
      </c>
      <c r="M48" s="191">
        <v>59.251353</v>
      </c>
    </row>
    <row r="49" spans="11:13">
      <c r="K49" s="218" t="s">
        <v>173</v>
      </c>
      <c r="L49">
        <v>87.483871</v>
      </c>
      <c r="M49" s="191">
        <v>59.0030036</v>
      </c>
    </row>
    <row r="50" spans="11:13">
      <c r="K50" s="218" t="s">
        <v>174</v>
      </c>
      <c r="L50">
        <v>90.4625</v>
      </c>
      <c r="M50" s="191">
        <v>58.6914467</v>
      </c>
    </row>
    <row r="51" spans="11:13">
      <c r="K51" s="218" t="s">
        <v>175</v>
      </c>
      <c r="L51">
        <v>89.6895161</v>
      </c>
      <c r="M51" s="191">
        <v>58.634177</v>
      </c>
    </row>
    <row r="52" spans="11:13">
      <c r="K52" s="218" t="s">
        <v>176</v>
      </c>
      <c r="L52">
        <v>88.0685484</v>
      </c>
      <c r="M52" s="191">
        <v>58.7736367</v>
      </c>
    </row>
  </sheetData>
  <pageMargins left="0.7" right="0.7" top="0.787401575" bottom="0.787401575" header="0.3" footer="0.3"/>
  <headerFooter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A1:T62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5.163461538461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8">
      <c r="A2" s="157"/>
      <c r="B2" s="49" t="s">
        <v>662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  <c r="N2" s="722" t="s">
        <v>651</v>
      </c>
      <c r="O2" s="722"/>
      <c r="P2" s="722"/>
      <c r="Q2" s="722"/>
      <c r="R2" s="722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663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2005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664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665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/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7"/>
      <c r="F14" s="68"/>
      <c r="G14" s="68"/>
      <c r="H14" s="64"/>
      <c r="I14" s="57" t="s">
        <v>248</v>
      </c>
      <c r="J14" s="64"/>
      <c r="K14" s="161">
        <v>4668</v>
      </c>
      <c r="L14" s="120" t="s">
        <v>28</v>
      </c>
      <c r="M14" s="723"/>
    </row>
    <row r="15" ht="15" customHeight="1" spans="1:13">
      <c r="A15" s="157"/>
      <c r="B15" s="66" t="s">
        <v>54</v>
      </c>
      <c r="C15" s="64" t="s">
        <v>55</v>
      </c>
      <c r="D15" s="69" t="s">
        <v>666</v>
      </c>
      <c r="E15" s="67"/>
      <c r="F15" s="69"/>
      <c r="G15" s="69"/>
      <c r="H15" s="98">
        <v>925</v>
      </c>
      <c r="I15" s="57" t="s">
        <v>249</v>
      </c>
      <c r="J15" s="64"/>
      <c r="K15" s="162">
        <f>K14/365</f>
        <v>12.7890410958904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850</v>
      </c>
      <c r="E16" s="67"/>
      <c r="F16" s="69"/>
      <c r="G16" s="69"/>
      <c r="H16" s="98">
        <v>850</v>
      </c>
      <c r="I16" s="56" t="s">
        <v>58</v>
      </c>
      <c r="J16" s="56"/>
      <c r="K16" s="163">
        <v>16.7093834025926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67"/>
      <c r="F17" s="70"/>
      <c r="G17" s="70"/>
      <c r="H17" s="98"/>
      <c r="I17" s="56" t="s">
        <v>160</v>
      </c>
      <c r="J17" s="56"/>
      <c r="K17" s="164">
        <v>10.4914387494997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 t="s">
        <v>288</v>
      </c>
      <c r="E18" s="67"/>
      <c r="F18" s="71"/>
      <c r="G18" s="71"/>
      <c r="H18" s="98">
        <v>0</v>
      </c>
      <c r="I18" s="56" t="s">
        <v>667</v>
      </c>
      <c r="J18" s="56"/>
      <c r="K18" s="164">
        <f>100-K16-K17</f>
        <v>72.7991778479077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159"/>
      <c r="F19" s="70"/>
      <c r="G19" s="70"/>
      <c r="H19" s="100"/>
      <c r="I19" s="56"/>
      <c r="J19" s="56"/>
      <c r="K19" s="164"/>
      <c r="L19" s="123"/>
      <c r="M19" s="178"/>
    </row>
    <row r="20" ht="15" customHeight="1" spans="1:13">
      <c r="A20" s="157"/>
      <c r="B20" s="72" t="s">
        <v>69</v>
      </c>
      <c r="C20" s="73"/>
      <c r="D20" s="74"/>
      <c r="E20" s="67"/>
      <c r="F20" s="74"/>
      <c r="G20" s="74"/>
      <c r="H20" s="101"/>
      <c r="I20" s="56"/>
      <c r="J20" s="56"/>
      <c r="K20" s="164"/>
      <c r="L20" s="123"/>
      <c r="M20" s="178"/>
    </row>
    <row r="21" ht="15" customHeight="1" spans="1:13">
      <c r="A21" s="157"/>
      <c r="B21" s="66" t="s">
        <v>71</v>
      </c>
      <c r="C21" s="64" t="s">
        <v>59</v>
      </c>
      <c r="D21" s="75">
        <v>15.6798333333333</v>
      </c>
      <c r="E21" s="67"/>
      <c r="F21" s="77"/>
      <c r="G21" s="77"/>
      <c r="H21" s="102"/>
      <c r="I21" s="56"/>
      <c r="J21" s="56"/>
      <c r="K21" s="164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74.2649166666667</v>
      </c>
      <c r="E22" s="67"/>
      <c r="F22" s="77"/>
      <c r="G22" s="77"/>
      <c r="H22" s="78"/>
      <c r="I22" s="57"/>
      <c r="J22" s="56"/>
      <c r="K22" s="16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67"/>
      <c r="F23" s="77"/>
      <c r="G23" s="78"/>
      <c r="H23" s="75" t="s">
        <v>606</v>
      </c>
      <c r="I23" s="125" t="s">
        <v>76</v>
      </c>
      <c r="J23" s="56"/>
      <c r="K23" s="165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67"/>
      <c r="F24" s="77"/>
      <c r="G24" s="78"/>
      <c r="H24" s="77" t="s">
        <v>668</v>
      </c>
      <c r="I24" s="127" t="s">
        <v>80</v>
      </c>
      <c r="J24" s="56"/>
      <c r="K24" s="163">
        <v>36.4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67"/>
      <c r="F25" s="77"/>
      <c r="G25" s="77"/>
      <c r="H25" s="699" t="s">
        <v>669</v>
      </c>
      <c r="I25" s="128" t="s">
        <v>83</v>
      </c>
      <c r="J25" s="56"/>
      <c r="K25" s="163">
        <v>90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7"/>
      <c r="E26" s="67"/>
      <c r="F26" s="78"/>
      <c r="G26" s="78"/>
      <c r="H26" s="700" t="s">
        <v>359</v>
      </c>
      <c r="I26" s="57" t="s">
        <v>86</v>
      </c>
      <c r="J26" s="56"/>
      <c r="K26" s="163">
        <v>65.6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7"/>
      <c r="E27" s="67"/>
      <c r="F27" s="78"/>
      <c r="G27" s="78"/>
      <c r="H27" s="75" t="s">
        <v>564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67"/>
      <c r="F28" s="78"/>
      <c r="G28" s="78"/>
      <c r="H28" s="75" t="s">
        <v>339</v>
      </c>
      <c r="I28" s="63" t="s">
        <v>93</v>
      </c>
      <c r="J28" s="133"/>
      <c r="K28" s="6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8.15408333333333</v>
      </c>
      <c r="E29" s="67"/>
      <c r="F29" s="75"/>
      <c r="G29" s="80"/>
      <c r="H29" s="78"/>
      <c r="I29" s="66" t="s">
        <v>26</v>
      </c>
      <c r="J29" s="64"/>
      <c r="K29" s="6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43</v>
      </c>
      <c r="E30" s="67"/>
      <c r="F30" s="78"/>
      <c r="G30" s="77"/>
      <c r="H30" s="78"/>
      <c r="I30" s="66" t="s">
        <v>96</v>
      </c>
      <c r="J30" s="92"/>
      <c r="K30" s="64">
        <v>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3.73333333333333</v>
      </c>
      <c r="E31" s="67"/>
      <c r="F31" s="80"/>
      <c r="G31" s="80"/>
      <c r="H31" s="78"/>
      <c r="I31" s="66" t="s">
        <v>99</v>
      </c>
      <c r="J31" s="92"/>
      <c r="K31" s="92">
        <v>1200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7.26666666666667</v>
      </c>
      <c r="E32" s="67"/>
      <c r="F32" s="80"/>
      <c r="G32" s="80"/>
      <c r="H32" s="78"/>
      <c r="I32" s="66" t="s">
        <v>66</v>
      </c>
      <c r="J32" s="92"/>
      <c r="K32" s="92">
        <v>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69">
        <v>1340</v>
      </c>
      <c r="E33" s="67"/>
      <c r="F33" s="80"/>
      <c r="G33" s="80"/>
      <c r="H33" s="78"/>
      <c r="I33" s="57" t="s">
        <v>103</v>
      </c>
      <c r="J33" s="64"/>
      <c r="K33" s="205" t="s">
        <v>670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0.349452814966208</v>
      </c>
      <c r="E34" s="67"/>
      <c r="F34" s="80"/>
      <c r="G34" s="80"/>
      <c r="H34" s="78"/>
      <c r="I34" s="66" t="s">
        <v>105</v>
      </c>
      <c r="J34" s="64"/>
      <c r="K34" s="168">
        <v>15.7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68">
        <v>74.3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72</v>
      </c>
      <c r="E39" s="78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51.6865753424658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78" t="s">
        <v>116</v>
      </c>
      <c r="L41" s="711" t="s">
        <v>117</v>
      </c>
    </row>
    <row r="42" ht="15" customHeight="1" spans="1:12">
      <c r="A42" s="157"/>
      <c r="B42" s="66" t="s">
        <v>118</v>
      </c>
      <c r="C42" s="64"/>
      <c r="D42" s="78" t="s">
        <v>301</v>
      </c>
      <c r="E42" s="78"/>
      <c r="F42" s="78"/>
      <c r="G42" s="78"/>
      <c r="H42" s="102"/>
      <c r="I42" s="66"/>
      <c r="J42" s="64" t="s">
        <v>113</v>
      </c>
      <c r="K42" s="78" t="s">
        <v>120</v>
      </c>
      <c r="L42" s="173">
        <v>0.3</v>
      </c>
    </row>
    <row r="43" ht="15" customHeight="1" spans="1:12">
      <c r="A43" s="157"/>
      <c r="B43" s="66" t="s">
        <v>121</v>
      </c>
      <c r="C43" s="64" t="s">
        <v>122</v>
      </c>
      <c r="D43" s="77">
        <v>240</v>
      </c>
      <c r="E43" s="77"/>
      <c r="F43" s="77"/>
      <c r="G43" s="78"/>
      <c r="H43" s="102"/>
      <c r="I43" s="66"/>
      <c r="J43" s="64" t="s">
        <v>123</v>
      </c>
      <c r="K43" s="172" t="s">
        <v>124</v>
      </c>
      <c r="L43" s="174">
        <v>107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240</v>
      </c>
      <c r="E44" s="77"/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44.5</v>
      </c>
      <c r="E45" s="78"/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44.5</v>
      </c>
      <c r="E46" s="78"/>
      <c r="F46" s="78"/>
      <c r="G46" s="78"/>
      <c r="H46" s="102"/>
      <c r="I46" s="66"/>
      <c r="J46" s="64" t="s">
        <v>131</v>
      </c>
      <c r="K46" s="77">
        <f>2134.16591781874/K15</f>
        <v>166.874584405279</v>
      </c>
      <c r="L46" s="174">
        <f>K46*L40/100</f>
        <v>86.2517577960609</v>
      </c>
      <c r="M46" s="180"/>
    </row>
    <row r="47" ht="15" customHeight="1" spans="1:12">
      <c r="A47" s="157"/>
      <c r="B47" s="57" t="s">
        <v>132</v>
      </c>
      <c r="C47" s="56" t="s">
        <v>62</v>
      </c>
      <c r="D47" s="78" t="s">
        <v>133</v>
      </c>
      <c r="E47" s="78"/>
      <c r="F47" s="78"/>
      <c r="G47" s="78"/>
      <c r="H47" s="102"/>
      <c r="I47" s="66"/>
      <c r="J47" s="64" t="s">
        <v>134</v>
      </c>
      <c r="K47" s="77">
        <f>K46/K24*100/K25*100</f>
        <v>509.385178282291</v>
      </c>
      <c r="L47" s="174">
        <f>K47*L40/100</f>
        <v>263.28375395623</v>
      </c>
    </row>
    <row r="48" ht="15" customHeight="1" spans="1:13">
      <c r="A48" s="157"/>
      <c r="B48" s="66" t="s">
        <v>135</v>
      </c>
      <c r="C48" s="64" t="s">
        <v>240</v>
      </c>
      <c r="D48" s="69">
        <v>8620</v>
      </c>
      <c r="E48" s="77"/>
      <c r="F48" s="77"/>
      <c r="G48" s="78" t="s">
        <v>77</v>
      </c>
      <c r="H48" s="102"/>
      <c r="I48" s="148" t="s">
        <v>137</v>
      </c>
      <c r="J48" s="64"/>
      <c r="K48" s="64"/>
      <c r="L48" s="114"/>
      <c r="M48" s="724"/>
    </row>
    <row r="49" ht="15" customHeight="1" spans="1:12">
      <c r="A49" s="157"/>
      <c r="B49" s="57" t="s">
        <v>138</v>
      </c>
      <c r="C49" s="64" t="s">
        <v>240</v>
      </c>
      <c r="D49" s="69">
        <v>7628</v>
      </c>
      <c r="E49" s="77"/>
      <c r="F49" s="77"/>
      <c r="G49" s="78"/>
      <c r="H49" s="102"/>
      <c r="I49" s="66"/>
      <c r="J49" s="64" t="s">
        <v>139</v>
      </c>
      <c r="K49" s="69">
        <v>5022</v>
      </c>
      <c r="L49" s="98"/>
    </row>
    <row r="50" ht="15" customHeight="1" spans="1:20">
      <c r="A50" s="157"/>
      <c r="B50" s="57" t="s">
        <v>140</v>
      </c>
      <c r="C50" s="64" t="s">
        <v>59</v>
      </c>
      <c r="D50" s="78">
        <v>87.1</v>
      </c>
      <c r="E50" s="78"/>
      <c r="F50" s="78"/>
      <c r="G50" s="78"/>
      <c r="H50" s="102"/>
      <c r="I50" s="66"/>
      <c r="J50" s="64" t="s">
        <v>141</v>
      </c>
      <c r="K50" s="77">
        <v>393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278910</v>
      </c>
      <c r="D55" s="69">
        <v>15.2</v>
      </c>
      <c r="E55" s="111" t="s">
        <v>147</v>
      </c>
      <c r="F55" s="64"/>
      <c r="G55" s="64" t="s">
        <v>148</v>
      </c>
      <c r="H55" s="64"/>
      <c r="I55" s="69">
        <v>94391.1</v>
      </c>
      <c r="J55" s="69">
        <f>I55/(K49*365*D46/D45)*100</f>
        <v>5.14945745568812</v>
      </c>
      <c r="K55" s="111" t="s">
        <v>149</v>
      </c>
      <c r="L55" s="114"/>
    </row>
    <row r="56" ht="15" customHeight="1" spans="1:12">
      <c r="A56" s="157"/>
      <c r="B56" s="66" t="s">
        <v>430</v>
      </c>
      <c r="C56" s="93">
        <v>80063</v>
      </c>
      <c r="D56" s="69">
        <f>D55/C55*C56</f>
        <v>4.36326270122979</v>
      </c>
      <c r="E56" s="111" t="s">
        <v>147</v>
      </c>
      <c r="F56" s="64"/>
      <c r="G56" s="64" t="s">
        <v>643</v>
      </c>
      <c r="H56" s="64"/>
      <c r="I56" s="69">
        <v>1424336</v>
      </c>
      <c r="J56" s="69">
        <v>76.3</v>
      </c>
      <c r="K56" s="111" t="s">
        <v>149</v>
      </c>
      <c r="L56" s="114"/>
    </row>
    <row r="57" ht="15" customHeight="1" spans="1:12">
      <c r="A57" s="157"/>
      <c r="B57" s="66" t="s">
        <v>431</v>
      </c>
      <c r="C57" s="93">
        <v>198847</v>
      </c>
      <c r="D57" s="69">
        <f>D55/C55*C57</f>
        <v>10.8367372987702</v>
      </c>
      <c r="E57" s="111" t="s">
        <v>147</v>
      </c>
      <c r="F57" s="64"/>
      <c r="G57" s="64"/>
      <c r="H57" s="64"/>
      <c r="I57" s="69"/>
      <c r="J57" s="69"/>
      <c r="K57" s="111"/>
      <c r="L57" s="114"/>
    </row>
    <row r="58" ht="15" customHeight="1" spans="1:12">
      <c r="A58" s="157"/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G61"/>
      <c r="H61"/>
    </row>
    <row r="62" ht="16.8" spans="7:8">
      <c r="G62"/>
      <c r="H62"/>
    </row>
  </sheetData>
  <mergeCells count="2">
    <mergeCell ref="B2:L2"/>
    <mergeCell ref="I36:L36"/>
  </mergeCells>
  <pageMargins left="0.7" right="0.7" top="0.787401575" bottom="0.787401575" header="0.3" footer="0.3"/>
  <pageSetup paperSize="9" orientation="portrait"/>
  <headerFooter/>
  <ignoredErrors>
    <ignoredError sqref="D18 D15" numberStoredAsText="1"/>
  </ignoredErrors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I7:U53"/>
  <sheetViews>
    <sheetView zoomScale="85" zoomScaleNormal="85" workbookViewId="0">
      <selection activeCell="A1" sqref="A1"/>
    </sheetView>
  </sheetViews>
  <sheetFormatPr defaultColWidth="11.5" defaultRowHeight="16.8"/>
  <cols>
    <col min="10" max="11" width="6" customWidth="1"/>
    <col min="12" max="12" width="7.33653846153846" customWidth="1"/>
    <col min="13" max="24" width="6" customWidth="1"/>
  </cols>
  <sheetData>
    <row r="7" spans="10:21">
      <c r="J7" t="s">
        <v>176</v>
      </c>
      <c r="K7" t="s">
        <v>177</v>
      </c>
      <c r="L7" t="s">
        <v>166</v>
      </c>
      <c r="M7" t="s">
        <v>167</v>
      </c>
      <c r="N7" t="s">
        <v>168</v>
      </c>
      <c r="O7" t="s">
        <v>169</v>
      </c>
      <c r="P7" t="s">
        <v>170</v>
      </c>
      <c r="Q7" t="s">
        <v>171</v>
      </c>
      <c r="R7" t="s">
        <v>172</v>
      </c>
      <c r="S7" t="s">
        <v>173</v>
      </c>
      <c r="T7" t="s">
        <v>174</v>
      </c>
      <c r="U7" t="s">
        <v>175</v>
      </c>
    </row>
    <row r="8" spans="9:21">
      <c r="I8" t="s">
        <v>667</v>
      </c>
      <c r="J8">
        <v>72.05</v>
      </c>
      <c r="K8">
        <v>74.43</v>
      </c>
      <c r="L8">
        <v>80.25</v>
      </c>
      <c r="M8">
        <v>77.3</v>
      </c>
      <c r="N8">
        <v>73.82</v>
      </c>
      <c r="O8">
        <v>68.98</v>
      </c>
      <c r="P8">
        <v>70.87</v>
      </c>
      <c r="Q8">
        <v>72.93</v>
      </c>
      <c r="R8">
        <v>69.73</v>
      </c>
      <c r="S8">
        <v>71.46</v>
      </c>
      <c r="T8">
        <v>72.88</v>
      </c>
      <c r="U8">
        <v>68.34</v>
      </c>
    </row>
    <row r="9" spans="9:21">
      <c r="I9" t="s">
        <v>58</v>
      </c>
      <c r="J9">
        <v>22.18</v>
      </c>
      <c r="K9">
        <v>20.76</v>
      </c>
      <c r="L9">
        <v>19.23</v>
      </c>
      <c r="M9">
        <v>14.67</v>
      </c>
      <c r="N9">
        <v>15.77</v>
      </c>
      <c r="O9">
        <v>18.62</v>
      </c>
      <c r="P9">
        <v>16.84</v>
      </c>
      <c r="Q9">
        <v>14.65</v>
      </c>
      <c r="R9">
        <v>8.66</v>
      </c>
      <c r="S9">
        <v>12.68</v>
      </c>
      <c r="T9">
        <v>15.59</v>
      </c>
      <c r="U9">
        <v>19.17</v>
      </c>
    </row>
    <row r="10" spans="9:21">
      <c r="I10" t="s">
        <v>671</v>
      </c>
      <c r="J10" t="s">
        <v>117</v>
      </c>
      <c r="K10" t="s">
        <v>117</v>
      </c>
      <c r="L10">
        <v>0.18</v>
      </c>
      <c r="M10">
        <v>0.35</v>
      </c>
      <c r="N10">
        <v>0.35</v>
      </c>
      <c r="O10">
        <v>0.24</v>
      </c>
      <c r="P10">
        <v>0.23</v>
      </c>
      <c r="Q10" t="s">
        <v>117</v>
      </c>
      <c r="R10" t="s">
        <v>117</v>
      </c>
      <c r="S10" t="s">
        <v>117</v>
      </c>
      <c r="T10" t="s">
        <v>117</v>
      </c>
      <c r="U10" t="s">
        <v>117</v>
      </c>
    </row>
    <row r="11" spans="9:21">
      <c r="I11" t="s">
        <v>160</v>
      </c>
      <c r="J11">
        <v>5.78</v>
      </c>
      <c r="K11">
        <v>4.8</v>
      </c>
      <c r="L11">
        <v>0.34</v>
      </c>
      <c r="M11">
        <v>7.68</v>
      </c>
      <c r="N11">
        <v>10.05</v>
      </c>
      <c r="O11">
        <v>12.16</v>
      </c>
      <c r="P11">
        <v>12.06</v>
      </c>
      <c r="Q11">
        <v>12.42</v>
      </c>
      <c r="R11">
        <v>21.61</v>
      </c>
      <c r="S11">
        <v>15.86</v>
      </c>
      <c r="T11">
        <v>11.53</v>
      </c>
      <c r="U11">
        <v>12.49</v>
      </c>
    </row>
    <row r="12" spans="9:21">
      <c r="I12" t="s">
        <v>646</v>
      </c>
      <c r="J12">
        <v>13.85</v>
      </c>
      <c r="K12">
        <v>13.12</v>
      </c>
      <c r="L12">
        <v>12.38</v>
      </c>
      <c r="M12">
        <v>12.63</v>
      </c>
      <c r="N12">
        <v>13.31</v>
      </c>
      <c r="O12">
        <v>12.84</v>
      </c>
      <c r="P12">
        <v>12.02</v>
      </c>
      <c r="Q12">
        <v>12</v>
      </c>
      <c r="R12">
        <v>11.89</v>
      </c>
      <c r="S12">
        <v>13.12</v>
      </c>
      <c r="T12">
        <v>13.73</v>
      </c>
      <c r="U12">
        <v>12.5</v>
      </c>
    </row>
    <row r="25" spans="10:11">
      <c r="J25" t="s">
        <v>176</v>
      </c>
      <c r="K25">
        <v>0.28</v>
      </c>
    </row>
    <row r="26" spans="10:11">
      <c r="J26" t="s">
        <v>177</v>
      </c>
      <c r="K26">
        <v>0.31</v>
      </c>
    </row>
    <row r="27" spans="10:11">
      <c r="J27" t="s">
        <v>166</v>
      </c>
      <c r="K27">
        <v>0.25</v>
      </c>
    </row>
    <row r="28" spans="10:11">
      <c r="J28" t="s">
        <v>167</v>
      </c>
      <c r="K28">
        <v>0.35</v>
      </c>
    </row>
    <row r="29" spans="10:11">
      <c r="J29" t="s">
        <v>168</v>
      </c>
      <c r="K29">
        <v>0.27</v>
      </c>
    </row>
    <row r="30" spans="10:11">
      <c r="J30" t="s">
        <v>169</v>
      </c>
      <c r="K30">
        <v>0.36</v>
      </c>
    </row>
    <row r="31" spans="10:11">
      <c r="J31" t="s">
        <v>170</v>
      </c>
      <c r="K31">
        <v>0.32</v>
      </c>
    </row>
    <row r="32" spans="10:11">
      <c r="J32" t="s">
        <v>171</v>
      </c>
      <c r="K32">
        <v>0.37</v>
      </c>
    </row>
    <row r="33" spans="10:11">
      <c r="J33" t="s">
        <v>172</v>
      </c>
      <c r="K33">
        <v>0.36</v>
      </c>
    </row>
    <row r="34" spans="10:11">
      <c r="J34" t="s">
        <v>173</v>
      </c>
      <c r="K34">
        <v>0.41</v>
      </c>
    </row>
    <row r="35" spans="10:11">
      <c r="J35" t="s">
        <v>174</v>
      </c>
      <c r="K35">
        <v>0.39</v>
      </c>
    </row>
    <row r="36" spans="10:11">
      <c r="J36" t="s">
        <v>175</v>
      </c>
      <c r="K36">
        <v>0.49</v>
      </c>
    </row>
    <row r="40" spans="12:12">
      <c r="L40" s="204" t="s">
        <v>672</v>
      </c>
    </row>
    <row r="41" spans="11:12">
      <c r="K41" t="s">
        <v>183</v>
      </c>
      <c r="L41" t="s">
        <v>184</v>
      </c>
    </row>
    <row r="42" spans="10:12">
      <c r="J42" t="s">
        <v>176</v>
      </c>
      <c r="K42">
        <v>92.05</v>
      </c>
      <c r="L42">
        <v>53.16</v>
      </c>
    </row>
    <row r="43" spans="10:12">
      <c r="J43" t="s">
        <v>177</v>
      </c>
      <c r="K43">
        <v>88.98</v>
      </c>
      <c r="L43">
        <v>62.4</v>
      </c>
    </row>
    <row r="44" spans="10:12">
      <c r="J44" t="s">
        <v>166</v>
      </c>
      <c r="K44">
        <v>81.48</v>
      </c>
      <c r="L44">
        <v>85.62</v>
      </c>
    </row>
    <row r="45" spans="10:12">
      <c r="J45" t="s">
        <v>167</v>
      </c>
      <c r="K45">
        <v>80.65</v>
      </c>
      <c r="L45">
        <v>91.7</v>
      </c>
    </row>
    <row r="46" spans="10:12">
      <c r="J46" t="s">
        <v>168</v>
      </c>
      <c r="K46">
        <v>90.81</v>
      </c>
      <c r="L46">
        <v>89.61</v>
      </c>
    </row>
    <row r="47" spans="10:12">
      <c r="J47" t="s">
        <v>169</v>
      </c>
      <c r="K47">
        <v>87.34</v>
      </c>
      <c r="L47">
        <v>88.93</v>
      </c>
    </row>
    <row r="48" spans="10:12">
      <c r="J48" t="s">
        <v>170</v>
      </c>
      <c r="K48">
        <v>90.11</v>
      </c>
      <c r="L48">
        <v>87.14</v>
      </c>
    </row>
    <row r="49" spans="10:12">
      <c r="J49" t="s">
        <v>171</v>
      </c>
      <c r="K49">
        <v>97.91</v>
      </c>
      <c r="L49">
        <v>81.25</v>
      </c>
    </row>
    <row r="50" spans="10:12">
      <c r="J50" t="s">
        <v>172</v>
      </c>
      <c r="K50">
        <v>82.5</v>
      </c>
      <c r="L50">
        <v>86.16</v>
      </c>
    </row>
    <row r="51" spans="10:12">
      <c r="J51" t="s">
        <v>173</v>
      </c>
      <c r="K51">
        <v>85.67</v>
      </c>
      <c r="L51">
        <v>78.11</v>
      </c>
    </row>
    <row r="52" spans="10:12">
      <c r="J52" t="s">
        <v>174</v>
      </c>
      <c r="K52">
        <v>88.68</v>
      </c>
      <c r="L52">
        <v>57.19</v>
      </c>
    </row>
    <row r="53" spans="10:12">
      <c r="J53" t="s">
        <v>175</v>
      </c>
      <c r="K53">
        <v>80.24</v>
      </c>
      <c r="L53">
        <v>62.84</v>
      </c>
    </row>
  </sheetData>
  <pageMargins left="0.7" right="0.7" top="0.787401575" bottom="0.787401575" header="0.3" footer="0.3"/>
  <pageSetup paperSize="9" orientation="portrait"/>
  <headerFooter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A1:O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662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240</v>
      </c>
      <c r="G3" s="22"/>
      <c r="H3" s="23" t="s">
        <v>187</v>
      </c>
      <c r="I3" s="5" t="s">
        <v>188</v>
      </c>
      <c r="J3" s="35">
        <v>1751955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228</v>
      </c>
      <c r="G4" s="217"/>
      <c r="H4" s="25" t="s">
        <v>187</v>
      </c>
      <c r="I4" s="7" t="s">
        <v>191</v>
      </c>
      <c r="J4" s="37">
        <v>1290000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84.9463500648843</v>
      </c>
      <c r="H6" s="27" t="s">
        <v>195</v>
      </c>
      <c r="I6" s="1"/>
      <c r="J6" s="40">
        <v>388759.46</v>
      </c>
      <c r="K6" s="41" t="s">
        <v>196</v>
      </c>
      <c r="L6" s="1"/>
    </row>
    <row r="7" ht="21.75" customHeight="1" spans="1:13">
      <c r="A7" s="1"/>
      <c r="B7" s="11"/>
      <c r="C7" s="1" t="s">
        <v>197</v>
      </c>
      <c r="D7" s="1"/>
      <c r="E7" s="1"/>
      <c r="F7" s="1"/>
      <c r="G7" s="26">
        <v>15.0536499351157</v>
      </c>
      <c r="H7" s="27" t="s">
        <v>195</v>
      </c>
      <c r="I7" s="1"/>
      <c r="J7" s="40">
        <v>68893.47</v>
      </c>
      <c r="K7" s="41" t="s">
        <v>196</v>
      </c>
      <c r="L7" s="1"/>
      <c r="M7" t="s">
        <v>77</v>
      </c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457652.93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36.8261280282416</v>
      </c>
      <c r="H11" s="27" t="s">
        <v>195</v>
      </c>
      <c r="I11" s="1"/>
      <c r="J11" s="40">
        <v>122312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35</v>
      </c>
      <c r="F13" s="15" t="s">
        <v>204</v>
      </c>
      <c r="G13" s="31"/>
      <c r="H13" s="15"/>
      <c r="I13" s="15"/>
      <c r="J13" s="45">
        <v>25900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28</v>
      </c>
      <c r="F14" s="15" t="s">
        <v>204</v>
      </c>
      <c r="G14" s="31"/>
      <c r="H14" s="15"/>
      <c r="I14" s="15"/>
      <c r="J14" s="45">
        <v>93080.4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110</v>
      </c>
      <c r="F15" s="15" t="s">
        <v>204</v>
      </c>
      <c r="G15" s="31"/>
      <c r="H15" s="15"/>
      <c r="I15" s="15"/>
      <c r="J15" s="45">
        <v>1111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9.03250572999582</v>
      </c>
      <c r="H16" s="27" t="s">
        <v>195</v>
      </c>
      <c r="I16" s="1"/>
      <c r="J16" s="40">
        <v>30000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21.0758467033236</v>
      </c>
      <c r="H17" s="27" t="s">
        <v>195</v>
      </c>
      <c r="I17" s="1"/>
      <c r="J17" s="40">
        <v>70000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11.6634036739717</v>
      </c>
      <c r="H18" s="27" t="s">
        <v>195</v>
      </c>
      <c r="I18" s="1"/>
      <c r="J18" s="40">
        <v>38738.1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21.4021158644672</v>
      </c>
      <c r="H19" s="27" t="s">
        <v>195</v>
      </c>
      <c r="I19" s="1"/>
      <c r="J19" s="40">
        <v>71263.65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13438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648</v>
      </c>
      <c r="E22" s="15"/>
      <c r="F22" s="15"/>
      <c r="G22" s="33"/>
      <c r="H22" s="17"/>
      <c r="I22" s="17"/>
      <c r="J22" s="45">
        <v>34948.65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1000</v>
      </c>
      <c r="K25" s="44" t="s">
        <v>196</v>
      </c>
      <c r="L25" s="15"/>
    </row>
    <row r="26" ht="21.75" customHeight="1" spans="1:15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1000</v>
      </c>
      <c r="K26" s="44" t="s">
        <v>196</v>
      </c>
      <c r="L26" s="15"/>
      <c r="O26" t="s">
        <v>77</v>
      </c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300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5000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673</v>
      </c>
      <c r="E29" s="15"/>
      <c r="F29" s="15"/>
      <c r="G29" s="31"/>
      <c r="H29" s="15"/>
      <c r="I29" s="15"/>
      <c r="J29" s="45">
        <v>12577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3000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332313.75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26.122413532311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18.9681669905905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7.15424654172054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125339.18</v>
      </c>
      <c r="K37" s="43" t="s">
        <v>196</v>
      </c>
      <c r="L37" s="12"/>
    </row>
    <row r="38" ht="21.75" customHeight="1" spans="1:12">
      <c r="A38" s="1"/>
      <c r="B38" s="721" t="s">
        <v>674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675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 spans="1:1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T68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1.6634615384615" style="156" customWidth="1"/>
    <col min="4" max="7" width="11.5" style="156" customWidth="1"/>
    <col min="8" max="8" width="17.663461538461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676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 t="s">
        <v>77</v>
      </c>
    </row>
    <row r="4" ht="15" customHeight="1" spans="1:12">
      <c r="A4" s="157"/>
      <c r="B4" s="54" t="s">
        <v>2</v>
      </c>
      <c r="C4" s="55" t="s">
        <v>677</v>
      </c>
      <c r="D4" s="56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241">
        <v>39783</v>
      </c>
      <c r="D5" s="24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95" t="s">
        <v>664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95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95" t="s">
        <v>280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95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95" t="s">
        <v>678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68"/>
      <c r="G14" s="68"/>
      <c r="H14" s="64"/>
      <c r="I14" s="57" t="s">
        <v>248</v>
      </c>
      <c r="J14" s="64"/>
      <c r="K14" s="119">
        <v>9322</v>
      </c>
      <c r="L14" s="120" t="s">
        <v>28</v>
      </c>
      <c r="M14" s="178"/>
    </row>
    <row r="15" ht="15" customHeight="1" spans="1:15">
      <c r="A15" s="157"/>
      <c r="B15" s="66" t="s">
        <v>54</v>
      </c>
      <c r="C15" s="64" t="s">
        <v>55</v>
      </c>
      <c r="D15" s="69">
        <v>900</v>
      </c>
      <c r="E15" s="69">
        <v>2500</v>
      </c>
      <c r="F15" s="67"/>
      <c r="G15" s="69"/>
      <c r="H15" s="98">
        <f>SUM(D15:E15)</f>
        <v>3400</v>
      </c>
      <c r="I15" s="57" t="s">
        <v>249</v>
      </c>
      <c r="J15" s="64"/>
      <c r="K15" s="121">
        <v>25.54</v>
      </c>
      <c r="L15" s="120" t="s">
        <v>56</v>
      </c>
      <c r="M15" s="178"/>
      <c r="O15" s="156" t="s">
        <v>77</v>
      </c>
    </row>
    <row r="16" ht="15" customHeight="1" spans="1:13">
      <c r="A16" s="157"/>
      <c r="B16" s="66" t="s">
        <v>234</v>
      </c>
      <c r="C16" s="64" t="s">
        <v>55</v>
      </c>
      <c r="D16" s="69">
        <v>900</v>
      </c>
      <c r="E16" s="69">
        <v>2300</v>
      </c>
      <c r="F16" s="68"/>
      <c r="G16" s="69"/>
      <c r="H16" s="98">
        <f>SUM(D16:E16)</f>
        <v>3200</v>
      </c>
      <c r="I16" s="56" t="s">
        <v>58</v>
      </c>
      <c r="J16" s="56"/>
      <c r="K16" s="122">
        <v>5.1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679</v>
      </c>
      <c r="E17" s="70" t="s">
        <v>63</v>
      </c>
      <c r="F17" s="67"/>
      <c r="G17" s="70"/>
      <c r="H17" s="98"/>
      <c r="I17" s="56" t="s">
        <v>155</v>
      </c>
      <c r="J17" s="56"/>
      <c r="K17" s="124">
        <v>33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850</v>
      </c>
      <c r="F18" s="68"/>
      <c r="G18" s="71"/>
      <c r="H18" s="98">
        <f>SUM(D18:E18)</f>
        <v>850</v>
      </c>
      <c r="I18" s="56" t="s">
        <v>671</v>
      </c>
      <c r="J18" s="56"/>
      <c r="K18" s="124">
        <v>3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130"/>
      <c r="G19" s="70"/>
      <c r="H19" s="100"/>
      <c r="I19" s="56" t="s">
        <v>667</v>
      </c>
      <c r="J19" s="56"/>
      <c r="K19" s="124">
        <v>58.9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68"/>
      <c r="G20" s="74"/>
      <c r="H20" s="101"/>
      <c r="I20" s="56"/>
      <c r="J20" s="56"/>
      <c r="K20" s="124"/>
      <c r="L20" s="123"/>
      <c r="M20" s="178"/>
    </row>
    <row r="21" ht="15" customHeight="1" spans="1:13">
      <c r="A21" s="157"/>
      <c r="B21" s="66" t="s">
        <v>71</v>
      </c>
      <c r="C21" s="64" t="s">
        <v>59</v>
      </c>
      <c r="D21" s="75">
        <v>12</v>
      </c>
      <c r="E21" s="75">
        <v>9.83233333333333</v>
      </c>
      <c r="F21" s="67"/>
      <c r="G21" s="77"/>
      <c r="H21" s="102"/>
      <c r="I21" s="56"/>
      <c r="J21" s="56"/>
      <c r="K21" s="124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77</v>
      </c>
      <c r="E22" s="75">
        <v>74.0766666666667</v>
      </c>
      <c r="F22" s="68"/>
      <c r="G22" s="77"/>
      <c r="H22" s="78"/>
      <c r="I22" s="57"/>
      <c r="J22" s="56"/>
      <c r="K22" s="12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67"/>
      <c r="G23" s="78"/>
      <c r="H23" s="75" t="s">
        <v>425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68"/>
      <c r="G24" s="78"/>
      <c r="H24" s="699" t="s">
        <v>680</v>
      </c>
      <c r="I24" s="127" t="s">
        <v>80</v>
      </c>
      <c r="J24" s="56"/>
      <c r="K24" s="122">
        <v>28.3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67"/>
      <c r="G25" s="77"/>
      <c r="H25" s="699" t="s">
        <v>681</v>
      </c>
      <c r="I25" s="128" t="s">
        <v>83</v>
      </c>
      <c r="J25" s="56"/>
      <c r="K25" s="122">
        <v>89.3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68"/>
      <c r="G26" s="78"/>
      <c r="H26" s="700" t="s">
        <v>682</v>
      </c>
      <c r="I26" s="57" t="s">
        <v>86</v>
      </c>
      <c r="J26" s="56"/>
      <c r="K26" s="122">
        <v>57.7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67"/>
      <c r="G27" s="78"/>
      <c r="H27" s="75" t="s">
        <v>254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68"/>
      <c r="G28" s="78"/>
      <c r="H28" s="75" t="s">
        <v>272</v>
      </c>
      <c r="I28" s="63" t="s">
        <v>93</v>
      </c>
      <c r="J28" s="133"/>
      <c r="K28" s="134"/>
      <c r="L28" s="120"/>
      <c r="N28" s="179" t="s">
        <v>77</v>
      </c>
    </row>
    <row r="29" ht="15" customHeight="1" spans="1:12">
      <c r="A29" s="157"/>
      <c r="B29" s="66" t="s">
        <v>32</v>
      </c>
      <c r="C29" s="56" t="s">
        <v>62</v>
      </c>
      <c r="D29" s="75">
        <v>7.85191666666667</v>
      </c>
      <c r="E29" s="75">
        <v>7.8</v>
      </c>
      <c r="F29" s="67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42.4712328767122</v>
      </c>
      <c r="E30" s="77">
        <v>38.8635616438357</v>
      </c>
      <c r="F30" s="68"/>
      <c r="G30" s="77"/>
      <c r="H30" s="78"/>
      <c r="I30" s="66" t="s">
        <v>96</v>
      </c>
      <c r="J30" s="92"/>
      <c r="K30" s="135">
        <v>2700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2.19166666666667</v>
      </c>
      <c r="E31" s="75"/>
      <c r="F31" s="67"/>
      <c r="G31" s="80"/>
      <c r="H31" s="78"/>
      <c r="I31" s="66" t="s">
        <v>99</v>
      </c>
      <c r="J31" s="92"/>
      <c r="K31" s="119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5.475</v>
      </c>
      <c r="E32" s="75"/>
      <c r="F32" s="68"/>
      <c r="G32" s="80"/>
      <c r="H32" s="78"/>
      <c r="I32" s="66" t="s">
        <v>66</v>
      </c>
      <c r="J32" s="92"/>
      <c r="K32" s="135">
        <v>1100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309</v>
      </c>
      <c r="E33" s="77">
        <v>115</v>
      </c>
      <c r="F33" s="67"/>
      <c r="G33" s="80"/>
      <c r="H33" s="78"/>
      <c r="I33" s="57" t="s">
        <v>103</v>
      </c>
      <c r="J33" s="64"/>
      <c r="K33" s="162" t="s">
        <v>683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0.3</v>
      </c>
      <c r="E34" s="80">
        <v>0.25</v>
      </c>
      <c r="F34" s="68"/>
      <c r="G34" s="80"/>
      <c r="H34" s="78"/>
      <c r="I34" s="66" t="s">
        <v>105</v>
      </c>
      <c r="J34" s="64"/>
      <c r="K34" s="137">
        <v>8.23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71.78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300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47</v>
      </c>
      <c r="E39" s="64"/>
      <c r="F39" s="78"/>
      <c r="G39" s="78"/>
      <c r="H39" s="102"/>
      <c r="I39" s="125" t="s">
        <v>112</v>
      </c>
      <c r="J39" s="64"/>
      <c r="K39" s="6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54.0942465753425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145">
        <v>33.0071232876712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705">
        <v>0.286849315068493</v>
      </c>
    </row>
    <row r="43" ht="15" customHeight="1" spans="1:12">
      <c r="A43" s="157"/>
      <c r="B43" s="66" t="s">
        <v>121</v>
      </c>
      <c r="C43" s="64" t="s">
        <v>122</v>
      </c>
      <c r="D43" s="77">
        <v>250</v>
      </c>
      <c r="E43" s="77">
        <v>190</v>
      </c>
      <c r="F43" s="77"/>
      <c r="G43" s="78"/>
      <c r="H43" s="102"/>
      <c r="I43" s="66"/>
      <c r="J43" s="64" t="s">
        <v>123</v>
      </c>
      <c r="K43" s="144" t="s">
        <v>124</v>
      </c>
      <c r="L43" s="147">
        <v>108.055890410959</v>
      </c>
    </row>
    <row r="44" ht="15" customHeight="1" spans="1:17">
      <c r="A44" s="157"/>
      <c r="B44" s="66" t="s">
        <v>125</v>
      </c>
      <c r="C44" s="64" t="s">
        <v>122</v>
      </c>
      <c r="D44" s="77">
        <f>D43*D46/D45</f>
        <v>267.307692307692</v>
      </c>
      <c r="E44" s="77">
        <f>E43*E46/E45</f>
        <v>244.285714285714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39</v>
      </c>
      <c r="E45" s="78">
        <v>38.5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41.7</v>
      </c>
      <c r="E46" s="78">
        <v>49.5</v>
      </c>
      <c r="F46" s="78"/>
      <c r="G46" s="78"/>
      <c r="H46" s="102"/>
      <c r="I46" s="66"/>
      <c r="J46" s="64" t="s">
        <v>131</v>
      </c>
      <c r="K46" s="79">
        <f>4467.11169354839/K15</f>
        <v>174.906487609569</v>
      </c>
      <c r="L46" s="147">
        <f>K46*L40/100</f>
        <v>94.614346683791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8"/>
      <c r="G47" s="78"/>
      <c r="H47" s="102"/>
      <c r="I47" s="66"/>
      <c r="J47" s="64" t="s">
        <v>134</v>
      </c>
      <c r="K47" s="79">
        <f>K46/K24*100/K25*100</f>
        <v>692.098685138707</v>
      </c>
      <c r="L47" s="147">
        <f>K47*L40/100</f>
        <v>374.385569283635</v>
      </c>
    </row>
    <row r="48" ht="15" customHeight="1" spans="1:13">
      <c r="A48" s="157"/>
      <c r="B48" s="66" t="s">
        <v>135</v>
      </c>
      <c r="C48" s="64" t="s">
        <v>240</v>
      </c>
      <c r="D48" s="69">
        <v>8600</v>
      </c>
      <c r="E48" s="69">
        <v>7782</v>
      </c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7510</v>
      </c>
      <c r="E49" s="69">
        <v>7397</v>
      </c>
      <c r="F49" s="78"/>
      <c r="G49" s="69"/>
      <c r="H49" s="98"/>
      <c r="I49" s="66"/>
      <c r="J49" s="64" t="s">
        <v>139</v>
      </c>
      <c r="K49" s="150">
        <v>8544.55068493151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85.7</v>
      </c>
      <c r="E50" s="77">
        <v>84.4</v>
      </c>
      <c r="F50" s="78"/>
      <c r="G50" s="78"/>
      <c r="H50" s="102"/>
      <c r="I50" s="66"/>
      <c r="J50" s="64" t="s">
        <v>141</v>
      </c>
      <c r="K50" s="150">
        <v>335.44620602463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351018</v>
      </c>
      <c r="D55" s="69">
        <v>11.2550464751868</v>
      </c>
      <c r="E55" s="111" t="s">
        <v>147</v>
      </c>
      <c r="F55" s="64"/>
      <c r="G55" s="64" t="s">
        <v>148</v>
      </c>
      <c r="H55" s="64"/>
      <c r="I55" s="69">
        <v>325329</v>
      </c>
      <c r="J55" s="69">
        <v>9</v>
      </c>
      <c r="K55" s="111" t="s">
        <v>149</v>
      </c>
      <c r="L55" s="114"/>
    </row>
    <row r="56" ht="15" customHeight="1" spans="1:12">
      <c r="A56" s="157"/>
      <c r="B56" s="66"/>
      <c r="C56" s="93"/>
      <c r="D56" s="69"/>
      <c r="E56" s="111"/>
      <c r="F56" s="64"/>
      <c r="G56" s="64" t="s">
        <v>643</v>
      </c>
      <c r="H56" s="64"/>
      <c r="I56" s="69">
        <v>2150751.681929</v>
      </c>
      <c r="J56" s="69">
        <v>59.5</v>
      </c>
      <c r="K56" s="111" t="s">
        <v>149</v>
      </c>
      <c r="L56" s="114"/>
    </row>
    <row r="57" ht="15" customHeight="1" spans="1:12">
      <c r="A57" s="157"/>
      <c r="B57" s="66"/>
      <c r="C57" s="93"/>
      <c r="D57" s="69"/>
      <c r="E57" s="111"/>
      <c r="F57" s="64"/>
      <c r="G57" s="64" t="s">
        <v>684</v>
      </c>
      <c r="H57" s="64"/>
      <c r="I57" s="69">
        <v>459863.98798842</v>
      </c>
      <c r="J57" s="69">
        <f>J56/I56*I57</f>
        <v>12.7220206382776</v>
      </c>
      <c r="K57" s="111" t="s">
        <v>149</v>
      </c>
      <c r="L57" s="114"/>
    </row>
    <row r="58" ht="15" customHeight="1" spans="1:12">
      <c r="A58" s="157"/>
      <c r="B58" s="66"/>
      <c r="C58" s="92"/>
      <c r="D58" s="69"/>
      <c r="E58" s="64"/>
      <c r="F58" s="64"/>
      <c r="G58" s="64" t="s">
        <v>685</v>
      </c>
      <c r="H58" s="64"/>
      <c r="I58" s="69">
        <v>1690887.69394058</v>
      </c>
      <c r="J58" s="69">
        <f>J56/I56*I58</f>
        <v>46.7779793617224</v>
      </c>
      <c r="K58" s="111" t="s">
        <v>149</v>
      </c>
      <c r="L58" s="114"/>
    </row>
    <row r="59" ht="15" customHeight="1" spans="1:12">
      <c r="A59" s="157"/>
      <c r="B59" s="66"/>
      <c r="C59" s="92"/>
      <c r="D59" s="69"/>
      <c r="E59" s="64"/>
      <c r="F59" s="64"/>
      <c r="G59" s="64" t="s">
        <v>686</v>
      </c>
      <c r="H59" s="64"/>
      <c r="I59" s="69"/>
      <c r="J59" s="69"/>
      <c r="K59" s="111"/>
      <c r="L59" s="114"/>
    </row>
    <row r="60" spans="1:12">
      <c r="A60" s="157"/>
      <c r="B60" s="81"/>
      <c r="C60" s="94"/>
      <c r="D60" s="89"/>
      <c r="E60" s="94"/>
      <c r="F60" s="94"/>
      <c r="G60" s="94"/>
      <c r="H60" s="94"/>
      <c r="I60" s="89"/>
      <c r="J60" s="89"/>
      <c r="K60" s="153"/>
      <c r="L60" s="115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spans="1:1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</row>
    <row r="63" ht="16.8" spans="7:8">
      <c r="G63"/>
      <c r="H63"/>
    </row>
    <row r="64" ht="16.8" spans="7:8">
      <c r="G64"/>
      <c r="H64" t="s">
        <v>77</v>
      </c>
    </row>
    <row r="65" spans="4:4">
      <c r="D65" s="156" t="s">
        <v>77</v>
      </c>
    </row>
    <row r="68" spans="10:10">
      <c r="J68" s="156" t="s">
        <v>77</v>
      </c>
    </row>
  </sheetData>
  <mergeCells count="2">
    <mergeCell ref="B2:L2"/>
    <mergeCell ref="I36:L36"/>
  </mergeCells>
  <pageMargins left="0.7" right="0.7" top="0.787401575" bottom="0.787401575" header="0.3" footer="0.3"/>
  <pageSetup paperSize="9" orientation="portrait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K3:P53"/>
  <sheetViews>
    <sheetView zoomScale="85" zoomScaleNormal="85" workbookViewId="0">
      <selection activeCell="A1" sqref="A1"/>
    </sheetView>
  </sheetViews>
  <sheetFormatPr defaultColWidth="11.5" defaultRowHeight="16.8"/>
  <cols>
    <col min="11" max="11" width="12.1634615384615" customWidth="1"/>
  </cols>
  <sheetData>
    <row r="3" spans="12:16">
      <c r="L3" s="218" t="s">
        <v>646</v>
      </c>
      <c r="M3" t="s">
        <v>155</v>
      </c>
      <c r="N3" t="s">
        <v>58</v>
      </c>
      <c r="O3" t="s">
        <v>667</v>
      </c>
      <c r="P3" t="s">
        <v>372</v>
      </c>
    </row>
    <row r="4" spans="11:16">
      <c r="K4" s="245">
        <v>42583</v>
      </c>
      <c r="L4" s="155">
        <v>24.7193548387097</v>
      </c>
      <c r="M4" s="155">
        <v>33</v>
      </c>
      <c r="N4" s="155">
        <v>0</v>
      </c>
      <c r="O4" s="155">
        <v>64</v>
      </c>
      <c r="P4" s="155">
        <v>3</v>
      </c>
    </row>
    <row r="5" spans="11:16">
      <c r="K5" s="245">
        <v>42614</v>
      </c>
      <c r="L5" s="155">
        <v>21.5153333333333</v>
      </c>
      <c r="M5" s="155">
        <v>33</v>
      </c>
      <c r="N5" s="155">
        <v>0</v>
      </c>
      <c r="O5" s="155">
        <v>64</v>
      </c>
      <c r="P5" s="155">
        <v>3</v>
      </c>
    </row>
    <row r="6" spans="11:16">
      <c r="K6" s="245">
        <v>42644</v>
      </c>
      <c r="L6" s="155">
        <v>23.4654838709677</v>
      </c>
      <c r="M6" s="155">
        <v>33</v>
      </c>
      <c r="N6" s="155">
        <v>4.94202878627497</v>
      </c>
      <c r="O6" s="155">
        <v>59.057971213725</v>
      </c>
      <c r="P6" s="155">
        <v>3</v>
      </c>
    </row>
    <row r="7" spans="11:16">
      <c r="K7" s="245">
        <v>42675</v>
      </c>
      <c r="L7" s="155">
        <v>26.9436666666667</v>
      </c>
      <c r="M7" s="155">
        <v>33</v>
      </c>
      <c r="N7" s="155">
        <v>9.44971607427843</v>
      </c>
      <c r="O7" s="155">
        <v>54.6518662394379</v>
      </c>
      <c r="P7" s="155">
        <v>2.89841768628373</v>
      </c>
    </row>
    <row r="8" spans="11:16">
      <c r="K8" s="245">
        <v>42705</v>
      </c>
      <c r="L8" s="155">
        <v>26.2383870967742</v>
      </c>
      <c r="M8" s="155">
        <v>33</v>
      </c>
      <c r="N8" s="155">
        <v>8</v>
      </c>
      <c r="O8" s="155">
        <v>56</v>
      </c>
      <c r="P8" s="155">
        <v>3</v>
      </c>
    </row>
    <row r="9" spans="11:16">
      <c r="K9" s="245">
        <v>42736</v>
      </c>
      <c r="L9" s="155">
        <v>26.1809677419355</v>
      </c>
      <c r="M9" s="155">
        <v>33</v>
      </c>
      <c r="N9" s="155">
        <v>8</v>
      </c>
      <c r="O9" s="155">
        <v>56</v>
      </c>
      <c r="P9" s="155">
        <v>3</v>
      </c>
    </row>
    <row r="10" spans="11:16">
      <c r="K10" s="245">
        <v>42767</v>
      </c>
      <c r="L10" s="155">
        <v>26.0542857142857</v>
      </c>
      <c r="M10" s="155">
        <v>33</v>
      </c>
      <c r="N10" s="155">
        <v>8</v>
      </c>
      <c r="O10" s="155">
        <v>56</v>
      </c>
      <c r="P10" s="155">
        <v>3</v>
      </c>
    </row>
    <row r="11" spans="11:16">
      <c r="K11" s="245">
        <v>42795</v>
      </c>
      <c r="L11" s="155">
        <v>25.1767741935484</v>
      </c>
      <c r="M11" s="155">
        <v>33</v>
      </c>
      <c r="N11" s="155">
        <v>8</v>
      </c>
      <c r="O11" s="155">
        <v>56</v>
      </c>
      <c r="P11" s="155">
        <v>3</v>
      </c>
    </row>
    <row r="12" spans="11:16">
      <c r="K12" s="245">
        <v>42826</v>
      </c>
      <c r="L12" s="155">
        <v>24.5303333333333</v>
      </c>
      <c r="M12" s="155">
        <v>33</v>
      </c>
      <c r="N12" s="155">
        <v>8</v>
      </c>
      <c r="O12" s="155">
        <v>56</v>
      </c>
      <c r="P12" s="155">
        <v>3</v>
      </c>
    </row>
    <row r="13" spans="11:16">
      <c r="K13" s="245">
        <v>42856</v>
      </c>
      <c r="L13" s="155">
        <v>23.4158064516129</v>
      </c>
      <c r="M13" s="155">
        <v>33</v>
      </c>
      <c r="N13" s="155">
        <v>8</v>
      </c>
      <c r="O13" s="155">
        <v>56</v>
      </c>
      <c r="P13" s="155">
        <v>3</v>
      </c>
    </row>
    <row r="14" spans="11:16">
      <c r="K14" s="245">
        <v>42887</v>
      </c>
      <c r="L14" s="155">
        <v>28.1066666666667</v>
      </c>
      <c r="M14" s="155">
        <v>33</v>
      </c>
      <c r="N14" s="155">
        <v>0</v>
      </c>
      <c r="O14" s="155">
        <v>64</v>
      </c>
      <c r="P14" s="155">
        <v>3</v>
      </c>
    </row>
    <row r="15" spans="11:16">
      <c r="K15" s="245">
        <v>42917</v>
      </c>
      <c r="L15" s="155">
        <v>30.1474193548387</v>
      </c>
      <c r="M15" s="155">
        <v>33</v>
      </c>
      <c r="N15" s="155">
        <v>0</v>
      </c>
      <c r="O15" s="155">
        <v>64</v>
      </c>
      <c r="P15" s="155">
        <v>3</v>
      </c>
    </row>
    <row r="16" spans="11:11">
      <c r="K16" s="720"/>
    </row>
    <row r="17" spans="11:11">
      <c r="K17" s="720"/>
    </row>
    <row r="18" spans="11:11">
      <c r="K18" s="720"/>
    </row>
    <row r="19" spans="11:11">
      <c r="K19" s="720"/>
    </row>
    <row r="20" spans="11:11">
      <c r="K20" s="720"/>
    </row>
    <row r="25" spans="11:13">
      <c r="K25" t="s">
        <v>104</v>
      </c>
      <c r="L25" t="s">
        <v>22</v>
      </c>
      <c r="M25" t="s">
        <v>23</v>
      </c>
    </row>
    <row r="26" spans="11:13">
      <c r="K26" s="245">
        <v>42583</v>
      </c>
      <c r="L26" s="198">
        <v>0.243</v>
      </c>
      <c r="M26" s="198">
        <v>0.199</v>
      </c>
    </row>
    <row r="27" spans="11:13">
      <c r="K27" s="245">
        <v>42614</v>
      </c>
      <c r="L27" s="198">
        <v>0.278</v>
      </c>
      <c r="M27" s="198">
        <v>0.181</v>
      </c>
    </row>
    <row r="28" spans="11:13">
      <c r="K28" s="245">
        <v>42644</v>
      </c>
      <c r="L28" s="198">
        <v>0.276</v>
      </c>
      <c r="M28" s="198" t="s">
        <v>72</v>
      </c>
    </row>
    <row r="29" spans="11:13">
      <c r="K29" s="245">
        <v>42675</v>
      </c>
      <c r="L29" s="198">
        <v>0.487</v>
      </c>
      <c r="M29" s="198">
        <v>0.424</v>
      </c>
    </row>
    <row r="30" spans="11:13">
      <c r="K30" s="245">
        <v>42705</v>
      </c>
      <c r="L30" s="198">
        <v>0.345</v>
      </c>
      <c r="M30" s="198">
        <v>0.255</v>
      </c>
    </row>
    <row r="31" spans="11:13">
      <c r="K31" s="245">
        <v>42736</v>
      </c>
      <c r="L31" s="198">
        <v>0.34</v>
      </c>
      <c r="M31" s="198">
        <v>0.219</v>
      </c>
    </row>
    <row r="32" spans="11:13">
      <c r="K32" s="245">
        <v>42767</v>
      </c>
      <c r="L32" s="198">
        <v>0.357</v>
      </c>
      <c r="M32" s="198">
        <v>0.227</v>
      </c>
    </row>
    <row r="33" spans="11:13">
      <c r="K33" s="245">
        <v>42795</v>
      </c>
      <c r="L33" s="198">
        <v>0.257</v>
      </c>
      <c r="M33" s="198">
        <v>0.169</v>
      </c>
    </row>
    <row r="34" spans="11:13">
      <c r="K34" s="245">
        <v>42826</v>
      </c>
      <c r="L34" s="198">
        <v>0.29</v>
      </c>
      <c r="M34" s="198">
        <v>0.365</v>
      </c>
    </row>
    <row r="35" spans="11:13">
      <c r="K35" s="245">
        <v>42856</v>
      </c>
      <c r="L35" s="198">
        <v>0.271</v>
      </c>
      <c r="M35" s="198" t="s">
        <v>72</v>
      </c>
    </row>
    <row r="36" spans="11:13">
      <c r="K36" s="245">
        <v>42887</v>
      </c>
      <c r="L36" s="198">
        <v>0.252</v>
      </c>
      <c r="M36" s="198">
        <v>0.223</v>
      </c>
    </row>
    <row r="37" spans="11:13">
      <c r="K37" s="245">
        <v>42917</v>
      </c>
      <c r="L37" s="198">
        <v>0.246</v>
      </c>
      <c r="M37" s="198">
        <v>0.221</v>
      </c>
    </row>
    <row r="38" spans="11:13">
      <c r="K38" s="219" t="s">
        <v>687</v>
      </c>
      <c r="L38" s="203">
        <f>AVERAGE(L26:L37)</f>
        <v>0.3035</v>
      </c>
      <c r="M38" s="203">
        <f>AVERAGE(M26:M37)</f>
        <v>0.2483</v>
      </c>
    </row>
    <row r="40" spans="12:13">
      <c r="L40" t="s">
        <v>183</v>
      </c>
      <c r="M40" t="s">
        <v>184</v>
      </c>
    </row>
    <row r="41" spans="11:13">
      <c r="K41" s="245">
        <v>42583</v>
      </c>
      <c r="L41" s="155">
        <v>82.8834825333127</v>
      </c>
      <c r="M41" s="155">
        <v>50.8595480140351</v>
      </c>
    </row>
    <row r="42" spans="11:14">
      <c r="K42" s="245">
        <v>42614</v>
      </c>
      <c r="L42" s="155">
        <v>82.0996145667198</v>
      </c>
      <c r="M42" s="155">
        <v>57.5495699831104</v>
      </c>
      <c r="N42">
        <v>100</v>
      </c>
    </row>
    <row r="43" spans="11:13">
      <c r="K43" s="245">
        <v>42644</v>
      </c>
      <c r="L43" s="155">
        <v>88.8058213716108</v>
      </c>
      <c r="M43" s="155">
        <v>71.3731940447917</v>
      </c>
    </row>
    <row r="44" spans="11:13">
      <c r="K44" s="245">
        <v>42675</v>
      </c>
      <c r="L44" s="155">
        <v>89.6836788942052</v>
      </c>
      <c r="M44" s="155">
        <v>78.4417079808912</v>
      </c>
    </row>
    <row r="45" spans="11:13">
      <c r="K45" s="245">
        <v>42705</v>
      </c>
      <c r="L45" s="155">
        <v>88.7659489633174</v>
      </c>
      <c r="M45" s="155">
        <v>73.8587275953486</v>
      </c>
    </row>
    <row r="46" spans="11:13">
      <c r="K46" s="245">
        <v>42736</v>
      </c>
      <c r="L46" s="155">
        <v>87.4887456912075</v>
      </c>
      <c r="M46" s="155">
        <v>61.1346674128566</v>
      </c>
    </row>
    <row r="47" spans="11:13">
      <c r="K47" s="245">
        <v>42767</v>
      </c>
      <c r="L47" s="155">
        <v>89.1693010936432</v>
      </c>
      <c r="M47" s="155">
        <v>48.6012528424876</v>
      </c>
    </row>
    <row r="48" spans="11:13">
      <c r="K48" s="245">
        <v>42795</v>
      </c>
      <c r="L48" s="155">
        <v>92.9982121726604</v>
      </c>
      <c r="M48" s="155">
        <v>58.8981862483536</v>
      </c>
    </row>
    <row r="49" spans="11:13">
      <c r="K49" s="245">
        <v>42826</v>
      </c>
      <c r="L49" s="155">
        <v>79.8112706007443</v>
      </c>
      <c r="M49" s="155">
        <v>58.006185119077</v>
      </c>
    </row>
    <row r="50" spans="11:13">
      <c r="K50" s="245">
        <v>42856</v>
      </c>
      <c r="L50" s="155">
        <v>74.4041647373566</v>
      </c>
      <c r="M50" s="155">
        <v>56.2201208660229</v>
      </c>
    </row>
    <row r="51" spans="11:13">
      <c r="K51" s="245">
        <v>42887</v>
      </c>
      <c r="L51" s="155">
        <v>78.7087985114301</v>
      </c>
      <c r="M51" s="155">
        <v>48.343272422631</v>
      </c>
    </row>
    <row r="52" spans="11:13">
      <c r="K52" s="245">
        <v>42917</v>
      </c>
      <c r="L52" s="155">
        <v>87.3080336471678</v>
      </c>
      <c r="M52" s="155">
        <v>46.5497156692818</v>
      </c>
    </row>
    <row r="53" spans="12:12">
      <c r="L53" s="191">
        <f>AVERAGE(L41:L52)</f>
        <v>85.1772560652813</v>
      </c>
    </row>
  </sheetData>
  <pageMargins left="0.7" right="0.7" top="0.787401575" bottom="0.787401575" header="0.3" footer="0.3"/>
  <headerFooter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676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440</v>
      </c>
      <c r="G3" s="22"/>
      <c r="H3" s="23" t="s">
        <v>187</v>
      </c>
      <c r="I3" s="5" t="s">
        <v>188</v>
      </c>
      <c r="J3" s="35">
        <v>3146652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f>F3*0.95</f>
        <v>418</v>
      </c>
      <c r="G4" s="217"/>
      <c r="H4" s="25" t="s">
        <v>187</v>
      </c>
      <c r="I4" s="7" t="s">
        <v>191</v>
      </c>
      <c r="J4" s="37">
        <v>2494000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83.5632161133547</v>
      </c>
      <c r="H6" s="27" t="s">
        <v>195</v>
      </c>
      <c r="I6" s="1"/>
      <c r="J6" s="40">
        <v>772631.73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16.4367838866453</v>
      </c>
      <c r="H7" s="27" t="s">
        <v>195</v>
      </c>
      <c r="I7" s="1"/>
      <c r="J7" s="40">
        <v>151975.73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924607.46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26.1378751505322</v>
      </c>
      <c r="H11" s="27" t="s">
        <v>195</v>
      </c>
      <c r="I11" s="1"/>
      <c r="J11" s="40">
        <v>215291.76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31.3</v>
      </c>
      <c r="F13" s="15" t="s">
        <v>204</v>
      </c>
      <c r="G13" s="31"/>
      <c r="H13" s="15"/>
      <c r="I13" s="15"/>
      <c r="J13" s="45">
        <v>30235.8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32">
        <v>23.78</v>
      </c>
      <c r="F14" s="15" t="s">
        <v>204</v>
      </c>
      <c r="G14" s="31"/>
      <c r="H14" s="15"/>
      <c r="I14" s="15"/>
      <c r="J14" s="45">
        <v>185055.96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7.30868698394235</v>
      </c>
      <c r="H16" s="27" t="s">
        <v>195</v>
      </c>
      <c r="I16" s="1"/>
      <c r="J16" s="40">
        <v>60200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10.776428284978</v>
      </c>
      <c r="H17" s="27" t="s">
        <v>195</v>
      </c>
      <c r="I17" s="1"/>
      <c r="J17" s="40">
        <v>88763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23.1552558394952</v>
      </c>
      <c r="H18" s="27" t="s">
        <v>195</v>
      </c>
      <c r="I18" s="1"/>
      <c r="J18" s="40">
        <v>190724.6</v>
      </c>
      <c r="K18" s="41" t="s">
        <v>196</v>
      </c>
      <c r="L18" s="1"/>
    </row>
    <row r="19" ht="21.75" customHeight="1" spans="1:12">
      <c r="A19" s="1"/>
      <c r="B19" s="11"/>
      <c r="C19" s="716" t="s">
        <v>210</v>
      </c>
      <c r="D19" s="716"/>
      <c r="E19" s="716"/>
      <c r="F19" s="716"/>
      <c r="G19" s="717">
        <v>32.6217537410522</v>
      </c>
      <c r="H19" s="718" t="s">
        <v>195</v>
      </c>
      <c r="I19" s="716"/>
      <c r="J19" s="719">
        <v>268698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52543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186000</v>
      </c>
      <c r="K23" s="44" t="s">
        <v>196</v>
      </c>
      <c r="L23" s="15"/>
    </row>
    <row r="24" ht="21.75" customHeight="1" spans="1:13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12055</v>
      </c>
      <c r="K24" s="44" t="s">
        <v>196</v>
      </c>
      <c r="L24" s="15"/>
      <c r="M24" t="s">
        <v>77</v>
      </c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4900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7600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0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5600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823677.36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29.3838486111588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26.1763092963569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3.2075393148019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100930.1</v>
      </c>
      <c r="K37" s="43" t="s">
        <v>196</v>
      </c>
      <c r="L37" s="12"/>
    </row>
    <row r="38" ht="21.75" customHeight="1" spans="1:1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N38" t="s">
        <v>77</v>
      </c>
    </row>
    <row r="39" ht="21.75" customHeight="1"/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799981688894314"/>
  </sheetPr>
  <dimension ref="A1:T67"/>
  <sheetViews>
    <sheetView zoomScale="115" zoomScaleNormal="115" workbookViewId="0">
      <selection activeCell="A1" sqref="A1"/>
    </sheetView>
  </sheetViews>
  <sheetFormatPr defaultColWidth="11.5" defaultRowHeight="16.8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5" style="157" customWidth="1"/>
    <col min="14" max="14" width="5" style="156" customWidth="1"/>
    <col min="15" max="15" width="5.16346153846154" customWidth="1"/>
    <col min="16" max="17" width="12" style="156" customWidth="1"/>
    <col min="18" max="16384" width="11.5" style="156"/>
  </cols>
  <sheetData>
    <row r="1" ht="21.75" customHeight="1" spans="1:16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P1" s="175"/>
    </row>
    <row r="2" ht="25.5" customHeight="1" spans="1:13">
      <c r="A2" s="157"/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76"/>
    </row>
    <row r="3" ht="20.25" customHeight="1" spans="1:13">
      <c r="A3" s="157"/>
      <c r="B3" s="49" t="s">
        <v>688</v>
      </c>
      <c r="C3" s="50"/>
      <c r="D3" s="50"/>
      <c r="E3" s="50"/>
      <c r="F3" s="50"/>
      <c r="G3" s="50"/>
      <c r="H3" s="50"/>
      <c r="I3" s="50"/>
      <c r="J3" s="50"/>
      <c r="K3" s="50"/>
      <c r="L3" s="112"/>
      <c r="M3" s="177"/>
    </row>
    <row r="4" ht="15" customHeight="1" spans="1:12">
      <c r="A4" s="157"/>
      <c r="B4" s="51" t="s">
        <v>1</v>
      </c>
      <c r="C4" s="52"/>
      <c r="D4" s="53"/>
      <c r="E4" s="52"/>
      <c r="F4" s="52"/>
      <c r="G4" s="52"/>
      <c r="H4" s="53"/>
      <c r="I4" s="53"/>
      <c r="J4" s="52"/>
      <c r="K4" s="53"/>
      <c r="L4" s="113"/>
    </row>
    <row r="5" ht="15" customHeight="1" spans="1:12">
      <c r="A5" s="157"/>
      <c r="B5" s="54" t="s">
        <v>2</v>
      </c>
      <c r="C5" s="55" t="s">
        <v>689</v>
      </c>
      <c r="D5" s="56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4" t="s">
        <v>4</v>
      </c>
      <c r="C6" s="55">
        <v>2011</v>
      </c>
      <c r="D6" s="581"/>
      <c r="E6" s="95"/>
      <c r="F6" s="96"/>
      <c r="G6" s="96"/>
      <c r="H6" s="56"/>
      <c r="I6" s="56"/>
      <c r="J6" s="64"/>
      <c r="K6" s="64"/>
      <c r="L6" s="114"/>
    </row>
    <row r="7" ht="15" customHeight="1" spans="1:12">
      <c r="A7" s="157"/>
      <c r="B7" s="57" t="s">
        <v>6</v>
      </c>
      <c r="C7" s="55" t="s">
        <v>368</v>
      </c>
      <c r="D7" s="56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230</v>
      </c>
      <c r="C8" s="56" t="s">
        <v>369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4" t="s">
        <v>231</v>
      </c>
      <c r="C9" s="213" t="s">
        <v>11</v>
      </c>
      <c r="D9" s="213"/>
      <c r="E9" s="56"/>
      <c r="F9" s="56"/>
      <c r="G9" s="56"/>
      <c r="H9" s="56"/>
      <c r="I9" s="56"/>
      <c r="J9" s="64"/>
      <c r="K9" s="64"/>
      <c r="L9" s="114"/>
    </row>
    <row r="10" ht="15" customHeight="1" spans="1:12">
      <c r="A10" s="157"/>
      <c r="B10" s="57" t="s">
        <v>12</v>
      </c>
      <c r="C10" s="56" t="s">
        <v>13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0" t="s">
        <v>232</v>
      </c>
      <c r="C11" s="95" t="s">
        <v>678</v>
      </c>
      <c r="D11" s="56"/>
      <c r="E11" s="56"/>
      <c r="F11" s="56"/>
      <c r="G11" s="56"/>
      <c r="H11" s="56"/>
      <c r="I11" s="56"/>
      <c r="J11" s="56"/>
      <c r="K11" s="56"/>
      <c r="L11" s="114"/>
    </row>
    <row r="12" ht="15" customHeight="1" spans="1:14">
      <c r="A12" s="157"/>
      <c r="B12" s="61"/>
      <c r="C12" s="62"/>
      <c r="D12" s="62"/>
      <c r="E12" s="62"/>
      <c r="F12" s="62"/>
      <c r="G12" s="62"/>
      <c r="H12" s="62"/>
      <c r="I12" s="62"/>
      <c r="J12" s="62"/>
      <c r="K12" s="62"/>
      <c r="L12" s="115"/>
      <c r="N12" s="179"/>
    </row>
    <row r="13" ht="15" customHeight="1" spans="1:12">
      <c r="A13" s="157"/>
      <c r="B13" s="63" t="s">
        <v>19</v>
      </c>
      <c r="C13" s="64"/>
      <c r="D13" s="65"/>
      <c r="E13" s="65"/>
      <c r="F13" s="65"/>
      <c r="G13" s="65"/>
      <c r="H13" s="97"/>
      <c r="I13" s="116" t="s">
        <v>20</v>
      </c>
      <c r="J13" s="117"/>
      <c r="K13" s="64"/>
      <c r="L13" s="114"/>
    </row>
    <row r="14" ht="15" customHeight="1" spans="1:13">
      <c r="A14" s="157"/>
      <c r="B14" s="66" t="s">
        <v>233</v>
      </c>
      <c r="C14" s="64"/>
      <c r="D14" s="229" t="s">
        <v>283</v>
      </c>
      <c r="E14" s="67" t="s">
        <v>22</v>
      </c>
      <c r="F14" s="67"/>
      <c r="G14" s="67"/>
      <c r="H14" s="97" t="s">
        <v>24</v>
      </c>
      <c r="I14" s="64"/>
      <c r="J14" s="56"/>
      <c r="K14" s="56" t="s">
        <v>25</v>
      </c>
      <c r="L14" s="118"/>
      <c r="M14" s="178"/>
    </row>
    <row r="15" ht="15" customHeight="1" spans="1:17">
      <c r="A15" s="157"/>
      <c r="B15" s="66" t="s">
        <v>26</v>
      </c>
      <c r="C15" s="64"/>
      <c r="D15" s="70">
        <v>1</v>
      </c>
      <c r="E15" s="68">
        <v>1</v>
      </c>
      <c r="F15" s="68"/>
      <c r="G15" s="68"/>
      <c r="H15" s="64"/>
      <c r="I15" s="57" t="s">
        <v>248</v>
      </c>
      <c r="J15" s="64"/>
      <c r="K15" s="161">
        <v>7284</v>
      </c>
      <c r="L15" s="120" t="s">
        <v>28</v>
      </c>
      <c r="M15" s="178"/>
      <c r="P15" s="712"/>
      <c r="Q15" s="712"/>
    </row>
    <row r="16" ht="15" customHeight="1" spans="1:18">
      <c r="A16" s="157"/>
      <c r="B16" s="66" t="s">
        <v>54</v>
      </c>
      <c r="C16" s="64" t="s">
        <v>55</v>
      </c>
      <c r="D16" s="69">
        <v>110</v>
      </c>
      <c r="E16" s="69">
        <v>900</v>
      </c>
      <c r="F16" s="69"/>
      <c r="G16" s="69"/>
      <c r="H16" s="98">
        <v>1010</v>
      </c>
      <c r="I16" s="57" t="s">
        <v>249</v>
      </c>
      <c r="J16" s="64"/>
      <c r="K16" s="162">
        <v>19.9561643835616</v>
      </c>
      <c r="L16" s="120" t="s">
        <v>56</v>
      </c>
      <c r="M16" s="178"/>
      <c r="P16" s="713"/>
      <c r="Q16" s="713"/>
      <c r="R16" s="713"/>
    </row>
    <row r="17" ht="15" customHeight="1" spans="1:18">
      <c r="A17" s="157"/>
      <c r="B17" s="66" t="s">
        <v>234</v>
      </c>
      <c r="C17" s="64" t="s">
        <v>55</v>
      </c>
      <c r="D17" s="71">
        <v>110</v>
      </c>
      <c r="E17" s="69">
        <v>850</v>
      </c>
      <c r="F17" s="69"/>
      <c r="G17" s="69"/>
      <c r="H17" s="98">
        <v>960</v>
      </c>
      <c r="I17" s="56" t="s">
        <v>58</v>
      </c>
      <c r="J17" s="56"/>
      <c r="K17" s="163">
        <v>30.1</v>
      </c>
      <c r="L17" s="123" t="s">
        <v>59</v>
      </c>
      <c r="M17" s="178"/>
      <c r="P17" s="713"/>
      <c r="Q17" s="713"/>
      <c r="R17" s="713"/>
    </row>
    <row r="18" ht="15" customHeight="1" spans="1:18">
      <c r="A18" s="157"/>
      <c r="B18" s="57" t="s">
        <v>61</v>
      </c>
      <c r="C18" s="56" t="s">
        <v>62</v>
      </c>
      <c r="D18" s="70" t="s">
        <v>679</v>
      </c>
      <c r="E18" s="70" t="s">
        <v>63</v>
      </c>
      <c r="F18" s="70"/>
      <c r="G18" s="70"/>
      <c r="H18" s="98"/>
      <c r="I18" s="56" t="s">
        <v>291</v>
      </c>
      <c r="J18" s="56"/>
      <c r="K18" s="164">
        <v>63.2</v>
      </c>
      <c r="L18" s="123" t="s">
        <v>59</v>
      </c>
      <c r="M18" s="178"/>
      <c r="P18" s="713"/>
      <c r="Q18" s="713"/>
      <c r="R18" s="713"/>
    </row>
    <row r="19" ht="15" customHeight="1" spans="1:18">
      <c r="A19" s="157"/>
      <c r="B19" s="57" t="s">
        <v>66</v>
      </c>
      <c r="C19" s="56" t="s">
        <v>55</v>
      </c>
      <c r="D19" s="71">
        <v>0</v>
      </c>
      <c r="E19" s="71">
        <v>200</v>
      </c>
      <c r="F19" s="71"/>
      <c r="G19" s="71"/>
      <c r="H19" s="98">
        <v>200</v>
      </c>
      <c r="I19" s="56" t="s">
        <v>690</v>
      </c>
      <c r="J19" s="56"/>
      <c r="K19" s="164">
        <v>1.6</v>
      </c>
      <c r="L19" s="123" t="s">
        <v>59</v>
      </c>
      <c r="M19" s="178"/>
      <c r="N19" s="178"/>
      <c r="P19" s="713"/>
      <c r="Q19" s="713"/>
      <c r="R19" s="713"/>
    </row>
    <row r="20" ht="15" customHeight="1" spans="1:18">
      <c r="A20" s="157"/>
      <c r="B20" s="57"/>
      <c r="C20" s="56"/>
      <c r="D20" s="70"/>
      <c r="E20" s="70"/>
      <c r="F20" s="70"/>
      <c r="G20" s="70"/>
      <c r="H20" s="100"/>
      <c r="I20" s="56" t="s">
        <v>372</v>
      </c>
      <c r="J20" s="56"/>
      <c r="K20" s="164">
        <v>5</v>
      </c>
      <c r="L20" s="123" t="s">
        <v>59</v>
      </c>
      <c r="P20" s="713"/>
      <c r="Q20" s="713"/>
      <c r="R20" s="713"/>
    </row>
    <row r="21" ht="15" customHeight="1" spans="1:18">
      <c r="A21" s="157"/>
      <c r="B21" s="72" t="s">
        <v>69</v>
      </c>
      <c r="C21" s="73"/>
      <c r="D21" s="74"/>
      <c r="E21" s="74"/>
      <c r="F21" s="74"/>
      <c r="G21" s="74"/>
      <c r="H21" s="101"/>
      <c r="I21" s="56"/>
      <c r="J21" s="56"/>
      <c r="K21" s="164"/>
      <c r="L21" s="123"/>
      <c r="M21" s="178"/>
      <c r="P21" s="714"/>
      <c r="Q21" s="714"/>
      <c r="R21" s="714"/>
    </row>
    <row r="22" ht="15" customHeight="1" spans="1:18">
      <c r="A22" s="157"/>
      <c r="B22" s="66" t="s">
        <v>71</v>
      </c>
      <c r="C22" s="64" t="s">
        <v>59</v>
      </c>
      <c r="D22" s="75">
        <v>9.9</v>
      </c>
      <c r="E22" s="75">
        <v>6.8</v>
      </c>
      <c r="F22" s="75"/>
      <c r="G22" s="77"/>
      <c r="H22" s="102"/>
      <c r="I22" s="56"/>
      <c r="J22" s="56"/>
      <c r="K22" s="164"/>
      <c r="L22" s="123"/>
      <c r="M22" s="178"/>
      <c r="P22" s="715"/>
      <c r="Q22" s="715"/>
      <c r="R22" s="713"/>
    </row>
    <row r="23" ht="15" customHeight="1" spans="1:18">
      <c r="A23" s="157"/>
      <c r="B23" s="66" t="s">
        <v>73</v>
      </c>
      <c r="C23" s="64" t="s">
        <v>59</v>
      </c>
      <c r="D23" s="75">
        <v>84.2</v>
      </c>
      <c r="E23" s="75">
        <v>77.5</v>
      </c>
      <c r="F23" s="75"/>
      <c r="G23" s="77"/>
      <c r="H23" s="78"/>
      <c r="I23" s="57"/>
      <c r="J23" s="56"/>
      <c r="K23" s="164"/>
      <c r="L23" s="123"/>
      <c r="M23" s="178"/>
      <c r="R23" s="713"/>
    </row>
    <row r="24" ht="15" customHeight="1" spans="1:18">
      <c r="A24" s="157"/>
      <c r="B24" s="66" t="s">
        <v>74</v>
      </c>
      <c r="C24" s="76" t="s">
        <v>75</v>
      </c>
      <c r="D24" s="78"/>
      <c r="E24" s="77"/>
      <c r="F24" s="77"/>
      <c r="G24" s="78"/>
      <c r="H24" s="75">
        <v>3.29675835616438</v>
      </c>
      <c r="I24" s="125" t="s">
        <v>76</v>
      </c>
      <c r="J24" s="56"/>
      <c r="K24" s="165"/>
      <c r="L24" s="123"/>
      <c r="M24" s="178"/>
      <c r="R24" s="713"/>
    </row>
    <row r="25" ht="15" customHeight="1" spans="1:18">
      <c r="A25" s="157"/>
      <c r="B25" s="66" t="s">
        <v>78</v>
      </c>
      <c r="C25" s="56" t="s">
        <v>79</v>
      </c>
      <c r="D25" s="78"/>
      <c r="E25" s="77"/>
      <c r="F25" s="77"/>
      <c r="G25" s="78"/>
      <c r="H25" s="77">
        <v>48.1054365733114</v>
      </c>
      <c r="I25" s="127" t="s">
        <v>80</v>
      </c>
      <c r="J25" s="56"/>
      <c r="K25" s="164">
        <v>19.2</v>
      </c>
      <c r="L25" s="123" t="s">
        <v>59</v>
      </c>
      <c r="M25" s="178"/>
      <c r="N25" s="179"/>
      <c r="R25" s="713"/>
    </row>
    <row r="26" ht="15" customHeight="1" spans="1:18">
      <c r="A26" s="157"/>
      <c r="B26" s="57" t="s">
        <v>81</v>
      </c>
      <c r="C26" s="56" t="s">
        <v>59</v>
      </c>
      <c r="D26" s="78"/>
      <c r="E26" s="77"/>
      <c r="F26" s="77"/>
      <c r="G26" s="77"/>
      <c r="H26" s="77">
        <v>84</v>
      </c>
      <c r="I26" s="128" t="s">
        <v>83</v>
      </c>
      <c r="J26" s="56"/>
      <c r="K26" s="164">
        <v>82.6</v>
      </c>
      <c r="L26" s="123" t="s">
        <v>59</v>
      </c>
      <c r="M26" s="178"/>
      <c r="N26" s="179"/>
      <c r="R26" s="713"/>
    </row>
    <row r="27" ht="15" customHeight="1" spans="1:14">
      <c r="A27" s="157"/>
      <c r="B27" s="57" t="s">
        <v>312</v>
      </c>
      <c r="C27" s="56" t="s">
        <v>59</v>
      </c>
      <c r="D27" s="78"/>
      <c r="E27" s="78"/>
      <c r="F27" s="78"/>
      <c r="G27" s="78"/>
      <c r="H27" s="77">
        <v>92.7006804364582</v>
      </c>
      <c r="I27" s="57" t="s">
        <v>86</v>
      </c>
      <c r="J27" s="56"/>
      <c r="K27" s="164">
        <v>56.2</v>
      </c>
      <c r="L27" s="123" t="s">
        <v>59</v>
      </c>
      <c r="N27" s="179"/>
    </row>
    <row r="28" ht="15" customHeight="1" spans="1:14">
      <c r="A28" s="157"/>
      <c r="B28" s="57" t="s">
        <v>87</v>
      </c>
      <c r="C28" s="56" t="s">
        <v>91</v>
      </c>
      <c r="D28" s="78"/>
      <c r="E28" s="78"/>
      <c r="F28" s="78"/>
      <c r="G28" s="78"/>
      <c r="H28" s="75">
        <v>1.34</v>
      </c>
      <c r="I28" s="129"/>
      <c r="J28" s="130"/>
      <c r="K28" s="131"/>
      <c r="L28" s="132"/>
      <c r="N28" s="179"/>
    </row>
    <row r="29" ht="15" customHeight="1" spans="1:12">
      <c r="A29" s="157"/>
      <c r="B29" s="57" t="s">
        <v>90</v>
      </c>
      <c r="C29" s="56" t="s">
        <v>91</v>
      </c>
      <c r="D29" s="78"/>
      <c r="E29" s="78"/>
      <c r="F29" s="78"/>
      <c r="G29" s="78"/>
      <c r="H29" s="75">
        <v>2.68</v>
      </c>
      <c r="I29" s="63" t="s">
        <v>93</v>
      </c>
      <c r="J29" s="133"/>
      <c r="K29" s="134"/>
      <c r="L29" s="120"/>
    </row>
    <row r="30" ht="15" customHeight="1" spans="1:12">
      <c r="A30" s="157"/>
      <c r="B30" s="66" t="s">
        <v>32</v>
      </c>
      <c r="C30" s="56" t="s">
        <v>62</v>
      </c>
      <c r="D30" s="75">
        <v>6.1</v>
      </c>
      <c r="E30" s="75">
        <v>7.8</v>
      </c>
      <c r="F30" s="75"/>
      <c r="G30" s="80"/>
      <c r="H30" s="78"/>
      <c r="I30" s="66" t="s">
        <v>26</v>
      </c>
      <c r="J30" s="64"/>
      <c r="K30" s="134">
        <v>3</v>
      </c>
      <c r="L30" s="120"/>
    </row>
    <row r="31" ht="15" customHeight="1" spans="1:12">
      <c r="A31" s="157"/>
      <c r="B31" s="66" t="s">
        <v>94</v>
      </c>
      <c r="C31" s="56" t="s">
        <v>95</v>
      </c>
      <c r="D31" s="77">
        <v>45</v>
      </c>
      <c r="E31" s="77">
        <v>44</v>
      </c>
      <c r="F31" s="77"/>
      <c r="G31" s="77"/>
      <c r="H31" s="78"/>
      <c r="I31" s="66" t="s">
        <v>96</v>
      </c>
      <c r="J31" s="92"/>
      <c r="K31" s="92">
        <v>1500</v>
      </c>
      <c r="L31" s="120" t="s">
        <v>55</v>
      </c>
    </row>
    <row r="32" ht="15" customHeight="1" spans="1:12">
      <c r="A32" s="157"/>
      <c r="B32" s="66" t="s">
        <v>97</v>
      </c>
      <c r="C32" s="64" t="s">
        <v>98</v>
      </c>
      <c r="D32" s="75">
        <v>2.49</v>
      </c>
      <c r="E32" s="75">
        <v>3.6</v>
      </c>
      <c r="F32" s="75"/>
      <c r="G32" s="80"/>
      <c r="H32" s="80"/>
      <c r="I32" s="66" t="s">
        <v>99</v>
      </c>
      <c r="J32" s="92"/>
      <c r="K32" s="92">
        <v>1700</v>
      </c>
      <c r="L32" s="120" t="s">
        <v>55</v>
      </c>
    </row>
    <row r="33" ht="15" customHeight="1" spans="1:12">
      <c r="A33" s="157"/>
      <c r="B33" s="66" t="s">
        <v>100</v>
      </c>
      <c r="C33" s="64" t="s">
        <v>98</v>
      </c>
      <c r="D33" s="80"/>
      <c r="E33" s="75">
        <v>5.3</v>
      </c>
      <c r="F33" s="75"/>
      <c r="G33" s="80"/>
      <c r="H33" s="78"/>
      <c r="I33" s="66" t="s">
        <v>66</v>
      </c>
      <c r="J33" s="92"/>
      <c r="K33" s="92">
        <v>500</v>
      </c>
      <c r="L33" s="120" t="s">
        <v>55</v>
      </c>
    </row>
    <row r="34" ht="15" customHeight="1" spans="1:12">
      <c r="A34" s="157"/>
      <c r="B34" s="66" t="s">
        <v>101</v>
      </c>
      <c r="C34" s="64" t="s">
        <v>102</v>
      </c>
      <c r="D34" s="69">
        <v>17460</v>
      </c>
      <c r="E34" s="69">
        <v>3076</v>
      </c>
      <c r="F34" s="69"/>
      <c r="G34" s="80"/>
      <c r="H34" s="78"/>
      <c r="I34" s="57" t="s">
        <v>103</v>
      </c>
      <c r="J34" s="64"/>
      <c r="K34" s="163" t="s">
        <v>691</v>
      </c>
      <c r="L34" s="120" t="s">
        <v>59</v>
      </c>
    </row>
    <row r="35" ht="15" customHeight="1" spans="1:12">
      <c r="A35" s="157"/>
      <c r="B35" s="66" t="s">
        <v>104</v>
      </c>
      <c r="C35" s="64" t="s">
        <v>62</v>
      </c>
      <c r="D35" s="189">
        <v>4.373</v>
      </c>
      <c r="E35" s="189">
        <v>0.547946186955758</v>
      </c>
      <c r="F35" s="189"/>
      <c r="G35" s="80"/>
      <c r="H35" s="78"/>
      <c r="I35" s="66" t="s">
        <v>105</v>
      </c>
      <c r="J35" s="64"/>
      <c r="K35" s="168">
        <v>5.01657898127362</v>
      </c>
      <c r="L35" s="120" t="s">
        <v>59</v>
      </c>
    </row>
    <row r="36" ht="15" customHeight="1" spans="1:12">
      <c r="A36" s="157"/>
      <c r="B36" s="66"/>
      <c r="C36" s="64"/>
      <c r="D36" s="78"/>
      <c r="E36" s="78"/>
      <c r="F36" s="78"/>
      <c r="G36" s="78"/>
      <c r="H36" s="78"/>
      <c r="I36" s="66" t="s">
        <v>106</v>
      </c>
      <c r="J36" s="64"/>
      <c r="K36" s="168">
        <v>69.5747441658336</v>
      </c>
      <c r="L36" s="120" t="s">
        <v>59</v>
      </c>
    </row>
    <row r="37" ht="15" customHeight="1" spans="1:14">
      <c r="A37" s="157"/>
      <c r="B37" s="81"/>
      <c r="C37" s="64"/>
      <c r="D37" s="64"/>
      <c r="E37" s="80"/>
      <c r="F37" s="78"/>
      <c r="G37" s="78"/>
      <c r="H37" s="78"/>
      <c r="I37" s="169" t="s">
        <v>641</v>
      </c>
      <c r="J37" s="170"/>
      <c r="K37" s="170"/>
      <c r="L37" s="171"/>
      <c r="N37"/>
    </row>
    <row r="38" ht="15" customHeight="1" spans="1:12">
      <c r="A38" s="157"/>
      <c r="B38" s="51" t="s">
        <v>107</v>
      </c>
      <c r="C38" s="158"/>
      <c r="D38" s="83"/>
      <c r="E38" s="83"/>
      <c r="F38" s="83"/>
      <c r="G38" s="83"/>
      <c r="H38" s="106"/>
      <c r="I38" s="139" t="s">
        <v>108</v>
      </c>
      <c r="J38" s="140"/>
      <c r="K38" s="141"/>
      <c r="L38" s="142"/>
    </row>
    <row r="39" ht="15" customHeight="1" spans="1:12">
      <c r="A39" s="157"/>
      <c r="B39" s="84"/>
      <c r="C39" s="78"/>
      <c r="D39" s="78"/>
      <c r="E39" s="64"/>
      <c r="F39" s="78"/>
      <c r="G39" s="78"/>
      <c r="H39" s="102"/>
      <c r="I39" s="66"/>
      <c r="J39" s="64" t="s">
        <v>109</v>
      </c>
      <c r="K39" s="78" t="s">
        <v>642</v>
      </c>
      <c r="L39" s="120"/>
    </row>
    <row r="40" ht="15" customHeight="1" spans="1:12">
      <c r="A40" s="157"/>
      <c r="B40" s="85" t="s">
        <v>111</v>
      </c>
      <c r="C40" s="91" t="s">
        <v>59</v>
      </c>
      <c r="D40" s="78">
        <v>46</v>
      </c>
      <c r="E40" s="64"/>
      <c r="F40" s="64"/>
      <c r="G40" s="78"/>
      <c r="H40" s="102"/>
      <c r="I40" s="125" t="s">
        <v>112</v>
      </c>
      <c r="J40" s="64"/>
      <c r="K40" s="134"/>
      <c r="L40" s="120"/>
    </row>
    <row r="41" ht="15" customHeight="1" spans="1:12">
      <c r="A41" s="157"/>
      <c r="B41" s="84"/>
      <c r="C41" s="78"/>
      <c r="D41" s="78"/>
      <c r="E41" s="64"/>
      <c r="F41" s="78"/>
      <c r="G41" s="78"/>
      <c r="H41" s="102"/>
      <c r="I41" s="66"/>
      <c r="J41" s="64" t="s">
        <v>113</v>
      </c>
      <c r="K41" s="144" t="s">
        <v>114</v>
      </c>
      <c r="L41" s="103">
        <v>49.5</v>
      </c>
    </row>
    <row r="42" ht="15" customHeight="1" spans="1:12">
      <c r="A42" s="157"/>
      <c r="B42" s="86"/>
      <c r="C42" s="77"/>
      <c r="D42" s="67" t="s">
        <v>115</v>
      </c>
      <c r="E42" s="67"/>
      <c r="F42" s="67"/>
      <c r="G42" s="67"/>
      <c r="H42" s="67"/>
      <c r="I42" s="66"/>
      <c r="J42" s="64" t="s">
        <v>113</v>
      </c>
      <c r="K42" s="143" t="s">
        <v>116</v>
      </c>
      <c r="L42" s="711" t="s">
        <v>117</v>
      </c>
    </row>
    <row r="43" ht="15" customHeight="1" spans="1:12">
      <c r="A43" s="157"/>
      <c r="B43" s="66" t="s">
        <v>118</v>
      </c>
      <c r="C43" s="64"/>
      <c r="D43" s="78" t="s">
        <v>301</v>
      </c>
      <c r="E43" s="78"/>
      <c r="F43" s="78"/>
      <c r="G43" s="78"/>
      <c r="H43" s="102"/>
      <c r="I43" s="66"/>
      <c r="J43" s="64" t="s">
        <v>113</v>
      </c>
      <c r="K43" s="143" t="s">
        <v>120</v>
      </c>
      <c r="L43" s="173">
        <v>0.4</v>
      </c>
    </row>
    <row r="44" ht="15" customHeight="1" spans="1:12">
      <c r="A44" s="157"/>
      <c r="B44" s="66" t="s">
        <v>121</v>
      </c>
      <c r="C44" s="64" t="s">
        <v>122</v>
      </c>
      <c r="D44" s="77">
        <v>250</v>
      </c>
      <c r="E44" s="77"/>
      <c r="F44" s="77"/>
      <c r="G44" s="78"/>
      <c r="H44" s="102"/>
      <c r="I44" s="66"/>
      <c r="J44" s="64" t="s">
        <v>123</v>
      </c>
      <c r="K44" s="144" t="s">
        <v>124</v>
      </c>
      <c r="L44" s="174">
        <v>451</v>
      </c>
    </row>
    <row r="45" ht="15" customHeight="1" spans="1:19">
      <c r="A45" s="157"/>
      <c r="B45" s="66" t="s">
        <v>125</v>
      </c>
      <c r="C45" s="64" t="s">
        <v>122</v>
      </c>
      <c r="D45" s="77">
        <v>261.627906976744</v>
      </c>
      <c r="E45" s="77"/>
      <c r="F45" s="75"/>
      <c r="G45" s="75"/>
      <c r="H45" s="102"/>
      <c r="I45" s="148" t="s">
        <v>126</v>
      </c>
      <c r="J45" s="64"/>
      <c r="K45" s="134"/>
      <c r="L45" s="114"/>
      <c r="M45" s="180"/>
      <c r="R45" s="182"/>
      <c r="S45" s="182"/>
    </row>
    <row r="46" ht="15" customHeight="1" spans="1:13">
      <c r="A46" s="157"/>
      <c r="B46" s="66" t="s">
        <v>127</v>
      </c>
      <c r="C46" s="64" t="s">
        <v>59</v>
      </c>
      <c r="D46" s="75">
        <v>43</v>
      </c>
      <c r="E46" s="78"/>
      <c r="F46" s="78"/>
      <c r="G46" s="78"/>
      <c r="H46" s="102"/>
      <c r="I46" s="64"/>
      <c r="J46" s="64"/>
      <c r="K46" s="143" t="s">
        <v>128</v>
      </c>
      <c r="L46" s="102" t="s">
        <v>129</v>
      </c>
      <c r="M46" s="180"/>
    </row>
    <row r="47" ht="15" customHeight="1" spans="1:12">
      <c r="A47" s="157"/>
      <c r="B47" s="66" t="s">
        <v>130</v>
      </c>
      <c r="C47" s="64" t="s">
        <v>59</v>
      </c>
      <c r="D47" s="75">
        <v>45</v>
      </c>
      <c r="E47" s="78"/>
      <c r="F47" s="78"/>
      <c r="G47" s="78"/>
      <c r="H47" s="102"/>
      <c r="I47" s="66"/>
      <c r="J47" s="64" t="s">
        <v>131</v>
      </c>
      <c r="K47" s="77">
        <v>135.6891862</v>
      </c>
      <c r="L47" s="174">
        <v>67.166147169</v>
      </c>
    </row>
    <row r="48" ht="15" customHeight="1" spans="1:13">
      <c r="A48" s="157"/>
      <c r="B48" s="57" t="s">
        <v>132</v>
      </c>
      <c r="C48" s="56" t="s">
        <v>62</v>
      </c>
      <c r="D48" s="70" t="s">
        <v>133</v>
      </c>
      <c r="E48" s="70"/>
      <c r="F48" s="78"/>
      <c r="G48" s="78"/>
      <c r="H48" s="102"/>
      <c r="I48" s="66"/>
      <c r="J48" s="64" t="s">
        <v>134</v>
      </c>
      <c r="K48" s="77">
        <v>855.586575615416</v>
      </c>
      <c r="L48" s="174">
        <v>423.515354929631</v>
      </c>
      <c r="M48" s="181"/>
    </row>
    <row r="49" ht="15" customHeight="1" spans="1:12">
      <c r="A49" s="157"/>
      <c r="B49" s="66" t="s">
        <v>135</v>
      </c>
      <c r="C49" s="64" t="s">
        <v>240</v>
      </c>
      <c r="D49" s="69">
        <v>8167</v>
      </c>
      <c r="E49" s="69"/>
      <c r="F49" s="78"/>
      <c r="G49" s="78" t="s">
        <v>77</v>
      </c>
      <c r="H49" s="102"/>
      <c r="I49" s="148" t="s">
        <v>137</v>
      </c>
      <c r="J49" s="64"/>
      <c r="K49" s="64"/>
      <c r="L49" s="120"/>
    </row>
    <row r="50" ht="15" customHeight="1" spans="1:20">
      <c r="A50" s="157"/>
      <c r="B50" s="57" t="s">
        <v>138</v>
      </c>
      <c r="C50" s="64" t="s">
        <v>240</v>
      </c>
      <c r="D50" s="69">
        <v>7960.124</v>
      </c>
      <c r="E50" s="69"/>
      <c r="F50" s="78"/>
      <c r="G50" s="69"/>
      <c r="H50" s="98"/>
      <c r="I50" s="66"/>
      <c r="J50" s="64" t="s">
        <v>139</v>
      </c>
      <c r="K50" s="69">
        <v>5435</v>
      </c>
      <c r="L50" s="231"/>
      <c r="N50" s="179"/>
      <c r="R50" s="182"/>
      <c r="S50" s="182"/>
      <c r="T50" s="182"/>
    </row>
    <row r="51" ht="15" customHeight="1" spans="1:18">
      <c r="A51" s="157"/>
      <c r="B51" s="57" t="s">
        <v>140</v>
      </c>
      <c r="C51" s="64" t="s">
        <v>59</v>
      </c>
      <c r="D51" s="77">
        <v>90.86899543379</v>
      </c>
      <c r="E51" s="77"/>
      <c r="F51" s="78"/>
      <c r="G51" s="78"/>
      <c r="H51" s="102"/>
      <c r="I51" s="66"/>
      <c r="J51" s="64" t="s">
        <v>141</v>
      </c>
      <c r="K51" s="69">
        <v>272.346924766612</v>
      </c>
      <c r="L51" s="120"/>
      <c r="N51" s="179"/>
      <c r="R51" s="182"/>
    </row>
    <row r="52" ht="15" customHeight="1" spans="1:18">
      <c r="A52" s="157"/>
      <c r="B52" s="87"/>
      <c r="C52" s="64"/>
      <c r="D52" s="78"/>
      <c r="E52" s="78"/>
      <c r="F52" s="78"/>
      <c r="G52" s="78"/>
      <c r="H52" s="102"/>
      <c r="I52" s="65"/>
      <c r="J52" s="64"/>
      <c r="K52" s="143"/>
      <c r="L52" s="120"/>
      <c r="N52" s="179"/>
      <c r="R52" s="182"/>
    </row>
    <row r="53" ht="15" customHeight="1" spans="1:12">
      <c r="A53" s="157"/>
      <c r="B53" s="88" t="s">
        <v>142</v>
      </c>
      <c r="C53" s="89"/>
      <c r="D53" s="89"/>
      <c r="E53" s="108"/>
      <c r="F53" s="99"/>
      <c r="G53" s="99"/>
      <c r="H53" s="109"/>
      <c r="I53" s="78"/>
      <c r="J53" s="78"/>
      <c r="K53" s="78"/>
      <c r="L53" s="114"/>
    </row>
    <row r="54" ht="15" customHeight="1" spans="1:18">
      <c r="A54" s="157"/>
      <c r="B54" s="90" t="s">
        <v>143</v>
      </c>
      <c r="C54" s="78"/>
      <c r="D54" s="64"/>
      <c r="E54" s="64"/>
      <c r="F54" s="64"/>
      <c r="G54" s="110" t="s">
        <v>144</v>
      </c>
      <c r="H54" s="64"/>
      <c r="I54" s="83"/>
      <c r="J54" s="140"/>
      <c r="K54" s="140"/>
      <c r="L54" s="152"/>
      <c r="R54" s="183"/>
    </row>
    <row r="55" ht="15" customHeight="1" spans="1:12">
      <c r="A55" s="157"/>
      <c r="B55" s="66"/>
      <c r="C55" s="91" t="s">
        <v>145</v>
      </c>
      <c r="D55" s="92"/>
      <c r="E55" s="92"/>
      <c r="F55" s="64"/>
      <c r="G55" s="64"/>
      <c r="H55" s="64"/>
      <c r="I55" s="78" t="s">
        <v>145</v>
      </c>
      <c r="J55" s="64"/>
      <c r="K55" s="64"/>
      <c r="L55" s="114"/>
    </row>
    <row r="56" ht="15" customHeight="1" spans="1:12">
      <c r="A56" s="157"/>
      <c r="B56" s="66" t="s">
        <v>146</v>
      </c>
      <c r="C56" s="93">
        <v>174600.541168582</v>
      </c>
      <c r="D56" s="69">
        <v>8.80142864833877</v>
      </c>
      <c r="E56" s="111" t="s">
        <v>147</v>
      </c>
      <c r="F56" s="64"/>
      <c r="G56" s="64" t="s">
        <v>148</v>
      </c>
      <c r="H56" s="64"/>
      <c r="I56" s="69">
        <v>294170</v>
      </c>
      <c r="J56" s="69">
        <v>13.3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 t="s">
        <v>147</v>
      </c>
      <c r="F57" s="64"/>
      <c r="G57" s="64" t="s">
        <v>643</v>
      </c>
      <c r="H57" s="64"/>
      <c r="I57" s="69">
        <v>537386</v>
      </c>
      <c r="J57" s="69">
        <v>24.30351085</v>
      </c>
      <c r="K57" s="111" t="s">
        <v>149</v>
      </c>
      <c r="L57" s="114"/>
    </row>
    <row r="58" ht="15" customHeight="1" spans="1:12">
      <c r="A58" s="157"/>
      <c r="B58" s="66"/>
      <c r="C58" s="69"/>
      <c r="D58" s="69"/>
      <c r="E58" s="111" t="s">
        <v>147</v>
      </c>
      <c r="F58" s="64"/>
      <c r="G58" s="64" t="s">
        <v>692</v>
      </c>
      <c r="H58" s="64"/>
      <c r="I58" s="69">
        <v>460227</v>
      </c>
      <c r="J58" s="69">
        <v>20.81396219</v>
      </c>
      <c r="K58" s="111" t="s">
        <v>149</v>
      </c>
      <c r="L58" s="114"/>
    </row>
    <row r="59" ht="15" customHeight="1" spans="1:12">
      <c r="A59" s="157"/>
      <c r="B59" s="66"/>
      <c r="C59" s="92"/>
      <c r="D59" s="69"/>
      <c r="E59" s="64"/>
      <c r="F59" s="64"/>
      <c r="G59" s="64" t="s">
        <v>693</v>
      </c>
      <c r="H59" s="64"/>
      <c r="I59" s="69">
        <v>77159</v>
      </c>
      <c r="J59" s="69">
        <v>3.489548655</v>
      </c>
      <c r="K59" s="111" t="s">
        <v>149</v>
      </c>
      <c r="L59" s="114"/>
    </row>
    <row r="60" spans="1:12">
      <c r="A60" s="157"/>
      <c r="B60" s="81"/>
      <c r="C60" s="94"/>
      <c r="D60" s="89"/>
      <c r="E60" s="94"/>
      <c r="F60" s="94"/>
      <c r="G60" s="94"/>
      <c r="H60" s="94"/>
      <c r="I60" s="89"/>
      <c r="J60" s="89"/>
      <c r="K60" s="153"/>
      <c r="L60" s="115" t="s">
        <v>77</v>
      </c>
    </row>
    <row r="61" spans="1:1">
      <c r="A61" s="157"/>
    </row>
    <row r="62" spans="1:3">
      <c r="A62" s="157"/>
      <c r="C62" s="156" t="s">
        <v>77</v>
      </c>
    </row>
    <row r="63" spans="2:2">
      <c r="B63" s="156" t="s">
        <v>77</v>
      </c>
    </row>
    <row r="65" spans="2:2">
      <c r="B65" s="156" t="s">
        <v>77</v>
      </c>
    </row>
    <row r="67" spans="3:3">
      <c r="C67" s="156" t="s">
        <v>77</v>
      </c>
    </row>
  </sheetData>
  <mergeCells count="2">
    <mergeCell ref="B3:L3"/>
    <mergeCell ref="I37:L37"/>
  </mergeCells>
  <pageMargins left="0.7" right="0.7" top="0.787401575" bottom="0.7874015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799981688894314"/>
  </sheetPr>
  <dimension ref="K3:P54"/>
  <sheetViews>
    <sheetView zoomScale="85" zoomScaleNormal="85" workbookViewId="0">
      <selection activeCell="A1" sqref="A1"/>
    </sheetView>
  </sheetViews>
  <sheetFormatPr defaultColWidth="11.5" defaultRowHeight="16.8"/>
  <sheetData>
    <row r="3" spans="12:16">
      <c r="L3" t="s">
        <v>58</v>
      </c>
      <c r="M3" t="s">
        <v>694</v>
      </c>
      <c r="N3" t="s">
        <v>372</v>
      </c>
      <c r="O3" t="s">
        <v>291</v>
      </c>
      <c r="P3" t="s">
        <v>646</v>
      </c>
    </row>
    <row r="4" spans="11:16">
      <c r="K4" t="s">
        <v>177</v>
      </c>
      <c r="L4">
        <v>6.7</v>
      </c>
      <c r="M4">
        <v>19.7</v>
      </c>
      <c r="N4">
        <v>6</v>
      </c>
      <c r="O4">
        <v>67.6</v>
      </c>
      <c r="P4" s="191">
        <v>21.68</v>
      </c>
    </row>
    <row r="5" spans="11:16">
      <c r="K5" t="s">
        <v>166</v>
      </c>
      <c r="L5">
        <v>24.8</v>
      </c>
      <c r="M5">
        <v>0</v>
      </c>
      <c r="N5">
        <v>2.5</v>
      </c>
      <c r="O5">
        <v>72.7</v>
      </c>
      <c r="P5" s="191">
        <v>25.43</v>
      </c>
    </row>
    <row r="6" spans="11:16">
      <c r="K6" t="s">
        <v>167</v>
      </c>
      <c r="L6">
        <v>27.5</v>
      </c>
      <c r="M6">
        <v>0</v>
      </c>
      <c r="N6">
        <v>2.1</v>
      </c>
      <c r="O6">
        <v>70.5</v>
      </c>
      <c r="P6" s="191">
        <v>23.89</v>
      </c>
    </row>
    <row r="7" spans="11:16">
      <c r="K7" t="s">
        <v>168</v>
      </c>
      <c r="L7">
        <v>33</v>
      </c>
      <c r="M7">
        <v>0</v>
      </c>
      <c r="N7">
        <v>1.1</v>
      </c>
      <c r="O7">
        <v>65.8</v>
      </c>
      <c r="P7" s="191">
        <v>22.69</v>
      </c>
    </row>
    <row r="8" spans="11:16">
      <c r="K8" t="s">
        <v>169</v>
      </c>
      <c r="L8">
        <v>31.9</v>
      </c>
      <c r="M8">
        <v>0</v>
      </c>
      <c r="N8">
        <v>5.7</v>
      </c>
      <c r="O8">
        <v>62.4</v>
      </c>
      <c r="P8" s="191">
        <v>17.16</v>
      </c>
    </row>
    <row r="9" spans="11:16">
      <c r="K9" t="s">
        <v>170</v>
      </c>
      <c r="L9">
        <v>36.5</v>
      </c>
      <c r="M9">
        <v>0</v>
      </c>
      <c r="N9">
        <v>5.5</v>
      </c>
      <c r="O9">
        <v>58</v>
      </c>
      <c r="P9" s="191">
        <v>17.23</v>
      </c>
    </row>
    <row r="10" spans="11:16">
      <c r="K10" t="s">
        <v>171</v>
      </c>
      <c r="L10">
        <v>33</v>
      </c>
      <c r="M10">
        <v>0</v>
      </c>
      <c r="N10">
        <v>5</v>
      </c>
      <c r="O10">
        <v>62</v>
      </c>
      <c r="P10" s="191">
        <v>19.26</v>
      </c>
    </row>
    <row r="11" spans="11:16">
      <c r="K11" t="s">
        <v>172</v>
      </c>
      <c r="L11">
        <v>20</v>
      </c>
      <c r="M11">
        <v>0</v>
      </c>
      <c r="N11">
        <v>3.3</v>
      </c>
      <c r="O11">
        <v>76.8</v>
      </c>
      <c r="P11" s="191">
        <v>29.09</v>
      </c>
    </row>
    <row r="12" spans="11:16">
      <c r="K12" t="s">
        <v>173</v>
      </c>
      <c r="L12">
        <v>35</v>
      </c>
      <c r="M12">
        <v>0</v>
      </c>
      <c r="N12">
        <v>7.4</v>
      </c>
      <c r="O12">
        <v>57.6</v>
      </c>
      <c r="P12" s="191">
        <v>17.35</v>
      </c>
    </row>
    <row r="13" spans="11:16">
      <c r="K13" t="s">
        <v>174</v>
      </c>
      <c r="L13">
        <v>35.3</v>
      </c>
      <c r="M13">
        <v>0</v>
      </c>
      <c r="N13">
        <v>6.9</v>
      </c>
      <c r="O13">
        <v>57.8</v>
      </c>
      <c r="P13" s="191">
        <v>16.14</v>
      </c>
    </row>
    <row r="14" spans="11:16">
      <c r="K14" t="s">
        <v>175</v>
      </c>
      <c r="L14">
        <v>38.7</v>
      </c>
      <c r="M14">
        <v>0</v>
      </c>
      <c r="N14">
        <v>7.5</v>
      </c>
      <c r="O14">
        <v>53.7</v>
      </c>
      <c r="P14" s="191">
        <v>14.88</v>
      </c>
    </row>
    <row r="15" spans="11:16">
      <c r="K15" t="s">
        <v>176</v>
      </c>
      <c r="L15">
        <v>39</v>
      </c>
      <c r="M15">
        <v>0</v>
      </c>
      <c r="N15">
        <v>7.5</v>
      </c>
      <c r="O15">
        <v>53.6</v>
      </c>
      <c r="P15" s="191">
        <v>14.75</v>
      </c>
    </row>
    <row r="25" spans="12:12">
      <c r="L25" t="s">
        <v>104</v>
      </c>
    </row>
    <row r="26" spans="11:12">
      <c r="K26" t="s">
        <v>177</v>
      </c>
      <c r="L26">
        <v>0.27</v>
      </c>
    </row>
    <row r="27" spans="11:12">
      <c r="K27" t="s">
        <v>166</v>
      </c>
      <c r="L27">
        <v>0.3</v>
      </c>
    </row>
    <row r="28" spans="11:12">
      <c r="K28" t="s">
        <v>167</v>
      </c>
      <c r="L28">
        <v>0.62</v>
      </c>
    </row>
    <row r="29" spans="11:12">
      <c r="K29" t="s">
        <v>168</v>
      </c>
      <c r="L29">
        <v>0.22</v>
      </c>
    </row>
    <row r="30" spans="11:11">
      <c r="K30" t="s">
        <v>169</v>
      </c>
    </row>
    <row r="31" spans="11:12">
      <c r="K31" t="s">
        <v>170</v>
      </c>
      <c r="L31">
        <v>0.53</v>
      </c>
    </row>
    <row r="32" spans="11:12">
      <c r="K32" t="s">
        <v>171</v>
      </c>
      <c r="L32">
        <v>0.51</v>
      </c>
    </row>
    <row r="33" spans="11:12">
      <c r="K33" t="s">
        <v>172</v>
      </c>
      <c r="L33">
        <v>1.31</v>
      </c>
    </row>
    <row r="34" spans="11:12">
      <c r="K34" t="s">
        <v>173</v>
      </c>
      <c r="L34">
        <v>0.34</v>
      </c>
    </row>
    <row r="35" spans="11:11">
      <c r="K35" t="s">
        <v>174</v>
      </c>
    </row>
    <row r="36" spans="11:12">
      <c r="K36" t="s">
        <v>175</v>
      </c>
      <c r="L36">
        <v>1.09</v>
      </c>
    </row>
    <row r="37" spans="11:12">
      <c r="K37" t="s">
        <v>176</v>
      </c>
      <c r="L37">
        <v>0.29</v>
      </c>
    </row>
    <row r="42" spans="12:13">
      <c r="L42" t="s">
        <v>183</v>
      </c>
      <c r="M42" t="s">
        <v>184</v>
      </c>
    </row>
    <row r="43" spans="11:13">
      <c r="K43" t="s">
        <v>177</v>
      </c>
      <c r="L43">
        <v>87.37</v>
      </c>
      <c r="M43">
        <v>16</v>
      </c>
    </row>
    <row r="44" spans="11:13">
      <c r="K44" t="s">
        <v>166</v>
      </c>
      <c r="L44">
        <v>85.66</v>
      </c>
      <c r="M44">
        <v>26.53</v>
      </c>
    </row>
    <row r="45" spans="11:13">
      <c r="K45" t="s">
        <v>167</v>
      </c>
      <c r="L45">
        <v>82.97</v>
      </c>
      <c r="M45">
        <v>28.61</v>
      </c>
    </row>
    <row r="46" spans="11:13">
      <c r="K46" t="s">
        <v>168</v>
      </c>
      <c r="L46">
        <v>96.27</v>
      </c>
      <c r="M46">
        <v>28.63</v>
      </c>
    </row>
    <row r="47" spans="11:13">
      <c r="K47" t="s">
        <v>169</v>
      </c>
      <c r="L47">
        <v>91.01</v>
      </c>
      <c r="M47">
        <v>31.52</v>
      </c>
    </row>
    <row r="48" spans="11:13">
      <c r="K48" t="s">
        <v>170</v>
      </c>
      <c r="L48">
        <v>94.33</v>
      </c>
      <c r="M48">
        <v>29.34</v>
      </c>
    </row>
    <row r="49" spans="11:13">
      <c r="K49" t="s">
        <v>171</v>
      </c>
      <c r="L49">
        <v>93.75</v>
      </c>
      <c r="M49">
        <v>26.96</v>
      </c>
    </row>
    <row r="50" spans="11:13">
      <c r="K50" t="s">
        <v>172</v>
      </c>
      <c r="L50">
        <v>93.73</v>
      </c>
      <c r="M50">
        <v>28.28</v>
      </c>
    </row>
    <row r="51" spans="11:13">
      <c r="K51" t="s">
        <v>173</v>
      </c>
      <c r="L51">
        <v>92.59</v>
      </c>
      <c r="M51">
        <v>24.58</v>
      </c>
    </row>
    <row r="52" spans="11:13">
      <c r="K52" t="s">
        <v>174</v>
      </c>
      <c r="L52">
        <v>93.85</v>
      </c>
      <c r="M52">
        <v>17.67</v>
      </c>
    </row>
    <row r="53" spans="11:13">
      <c r="K53" t="s">
        <v>175</v>
      </c>
      <c r="L53">
        <v>88.39</v>
      </c>
      <c r="M53">
        <v>16.1</v>
      </c>
    </row>
    <row r="54" spans="11:13">
      <c r="K54" t="s">
        <v>176</v>
      </c>
      <c r="L54">
        <v>90.66</v>
      </c>
      <c r="M54">
        <v>17.21</v>
      </c>
    </row>
  </sheetData>
  <pageMargins left="0.7" right="0.7" top="0.787401575" bottom="0.787401575" header="0.3" footer="0.3"/>
  <headerFooter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799981688894314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688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250</v>
      </c>
      <c r="G3" s="22"/>
      <c r="H3" s="23" t="s">
        <v>187</v>
      </c>
      <c r="I3" s="5" t="s">
        <v>188</v>
      </c>
      <c r="J3" s="35">
        <v>1987665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f>F3*0.95</f>
        <v>237.5</v>
      </c>
      <c r="G4" s="217"/>
      <c r="H4" s="25" t="s">
        <v>187</v>
      </c>
      <c r="I4" s="7" t="s">
        <v>191</v>
      </c>
      <c r="J4" s="37">
        <v>1075700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86.0944656324027</v>
      </c>
      <c r="H6" s="27" t="s">
        <v>195</v>
      </c>
      <c r="I6" s="1"/>
      <c r="J6" s="40">
        <v>409452.02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10.6926464818247</v>
      </c>
      <c r="H7" s="27" t="s">
        <v>195</v>
      </c>
      <c r="I7" s="1"/>
      <c r="J7" s="40">
        <v>50852.58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3.21288788577258</v>
      </c>
      <c r="H8" s="27" t="s">
        <v>195</v>
      </c>
      <c r="I8" s="1"/>
      <c r="J8" s="40">
        <v>15280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475584.6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35.8997825584605</v>
      </c>
      <c r="H11" s="27" t="s">
        <v>195</v>
      </c>
      <c r="I11" s="1"/>
      <c r="J11" s="40">
        <v>139990.66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4">
      <c r="A13" s="15"/>
      <c r="B13" s="16"/>
      <c r="C13" s="15"/>
      <c r="D13" s="15" t="s">
        <v>203</v>
      </c>
      <c r="E13" s="32">
        <v>27.35</v>
      </c>
      <c r="F13" s="15" t="s">
        <v>204</v>
      </c>
      <c r="G13" s="31"/>
      <c r="H13" s="15"/>
      <c r="I13" s="15"/>
      <c r="J13" s="45">
        <v>64852.32</v>
      </c>
      <c r="K13" s="44" t="s">
        <v>196</v>
      </c>
      <c r="L13" s="15"/>
      <c r="N13" t="s">
        <v>77</v>
      </c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172.31</v>
      </c>
      <c r="F15" s="15" t="s">
        <v>204</v>
      </c>
      <c r="G15" s="31"/>
      <c r="H15" s="15"/>
      <c r="I15" s="15"/>
      <c r="J15" s="45">
        <v>59998.342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2.98116297360197</v>
      </c>
      <c r="H16" s="27" t="s">
        <v>195</v>
      </c>
      <c r="I16" s="1"/>
      <c r="J16" s="40">
        <v>11625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10.8988753873621</v>
      </c>
      <c r="H17" s="27" t="s">
        <v>195</v>
      </c>
      <c r="I17" s="1"/>
      <c r="J17" s="40">
        <v>42500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27.308093948511</v>
      </c>
      <c r="H18" s="27" t="s">
        <v>195</v>
      </c>
      <c r="I18" s="1"/>
      <c r="J18" s="40">
        <v>106487.5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22.9120851320645</v>
      </c>
      <c r="H19" s="27" t="s">
        <v>195</v>
      </c>
      <c r="I19" s="1"/>
      <c r="J19" s="40">
        <v>89705.33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25000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16503.33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500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4500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200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4600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540</v>
      </c>
      <c r="E29" s="15"/>
      <c r="F29" s="15"/>
      <c r="G29" s="31"/>
      <c r="H29" s="15"/>
      <c r="I29" s="15"/>
      <c r="J29" s="45">
        <v>34402</v>
      </c>
      <c r="K29" s="44" t="s">
        <v>196</v>
      </c>
      <c r="L29" s="15"/>
    </row>
    <row r="30" ht="21.75" customHeight="1" spans="1:13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  <c r="M30" t="s">
        <v>77</v>
      </c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4000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390308.49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23.9267985299334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19.6365328161436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4.2902657137898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85276.11</v>
      </c>
      <c r="K37" s="43" t="s">
        <v>196</v>
      </c>
      <c r="L37" s="12"/>
    </row>
    <row r="38" ht="21.75" customHeight="1" spans="1:12">
      <c r="A38" s="1"/>
      <c r="B38" s="19" t="s">
        <v>541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T63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6.663461538461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695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696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2004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368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697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8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5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95" t="s">
        <v>678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170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4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  <c r="N12" s="179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78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78"/>
      <c r="G14" s="68"/>
      <c r="H14" s="64"/>
      <c r="I14" s="57" t="s">
        <v>248</v>
      </c>
      <c r="J14" s="64"/>
      <c r="K14" s="161">
        <v>6810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2280</v>
      </c>
      <c r="E15" s="69">
        <v>2280</v>
      </c>
      <c r="F15" s="78"/>
      <c r="G15" s="69"/>
      <c r="H15" s="98">
        <f>SUM(D15:E15)</f>
        <v>4560</v>
      </c>
      <c r="I15" s="57" t="s">
        <v>249</v>
      </c>
      <c r="J15" s="64"/>
      <c r="K15" s="162">
        <f>K14/365</f>
        <v>18.6575342465753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2100</v>
      </c>
      <c r="E16" s="69">
        <v>2100</v>
      </c>
      <c r="F16" s="78"/>
      <c r="G16" s="69"/>
      <c r="H16" s="98">
        <f>SUM(D16:E16)</f>
        <v>4200</v>
      </c>
      <c r="I16" s="56" t="s">
        <v>157</v>
      </c>
      <c r="J16" s="56"/>
      <c r="K16" s="163">
        <v>8.55806912409514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8"/>
      <c r="G17" s="70"/>
      <c r="H17" s="98"/>
      <c r="I17" s="56" t="s">
        <v>58</v>
      </c>
      <c r="J17" s="56"/>
      <c r="K17" s="164">
        <v>53.6324616596586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700</v>
      </c>
      <c r="E18" s="71">
        <v>700</v>
      </c>
      <c r="F18" s="78"/>
      <c r="G18" s="71"/>
      <c r="H18" s="98">
        <f>SUM(D18:E18)</f>
        <v>1400</v>
      </c>
      <c r="I18" s="56" t="s">
        <v>155</v>
      </c>
      <c r="J18" s="56"/>
      <c r="K18" s="164">
        <v>7.65915003447235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99"/>
      <c r="G19" s="70"/>
      <c r="H19" s="100"/>
      <c r="I19" s="56" t="s">
        <v>561</v>
      </c>
      <c r="J19" s="56"/>
      <c r="K19" s="164">
        <v>13.5450595446175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8"/>
      <c r="G20" s="74"/>
      <c r="H20" s="101"/>
      <c r="I20" s="56" t="s">
        <v>698</v>
      </c>
      <c r="J20" s="56"/>
      <c r="K20" s="164">
        <v>12.1445839608143</v>
      </c>
      <c r="L20" s="118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9</v>
      </c>
      <c r="E21" s="75">
        <v>7.10533333333333</v>
      </c>
      <c r="F21" s="78"/>
      <c r="G21" s="77"/>
      <c r="H21" s="102"/>
      <c r="I21" s="56" t="s">
        <v>699</v>
      </c>
      <c r="J21" s="56"/>
      <c r="K21" s="164">
        <v>4.75986716373093</v>
      </c>
      <c r="L21" s="118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81.9</v>
      </c>
      <c r="E22" s="75">
        <v>80.8826666666667</v>
      </c>
      <c r="F22" s="78"/>
      <c r="G22" s="77"/>
      <c r="H22" s="78"/>
      <c r="I22" s="57"/>
      <c r="J22" s="56"/>
      <c r="K22" s="164"/>
      <c r="L22" s="118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78"/>
      <c r="G23" s="78"/>
      <c r="H23" s="75" t="s">
        <v>700</v>
      </c>
      <c r="I23" s="125" t="s">
        <v>76</v>
      </c>
      <c r="J23" s="56"/>
      <c r="K23" s="165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78"/>
      <c r="G24" s="78"/>
      <c r="H24" s="699" t="s">
        <v>701</v>
      </c>
      <c r="I24" s="127" t="s">
        <v>80</v>
      </c>
      <c r="J24" s="56"/>
      <c r="K24" s="163">
        <v>38.7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8"/>
      <c r="G25" s="77"/>
      <c r="H25" s="699" t="s">
        <v>702</v>
      </c>
      <c r="I25" s="128" t="s">
        <v>83</v>
      </c>
      <c r="J25" s="56"/>
      <c r="K25" s="163">
        <v>96.4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589</v>
      </c>
      <c r="I26" s="57" t="s">
        <v>86</v>
      </c>
      <c r="J26" s="56"/>
      <c r="K26" s="163">
        <v>85.3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298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429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8.00428571428571</v>
      </c>
      <c r="E29" s="75">
        <v>8.1</v>
      </c>
      <c r="F29" s="78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42</v>
      </c>
      <c r="E30" s="77">
        <v>42</v>
      </c>
      <c r="F30" s="78"/>
      <c r="G30" s="77"/>
      <c r="H30" s="78"/>
      <c r="I30" s="66" t="s">
        <v>96</v>
      </c>
      <c r="J30" s="92"/>
      <c r="K30" s="135">
        <v>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4.45</v>
      </c>
      <c r="E31" s="75">
        <v>4.3</v>
      </c>
      <c r="F31" s="78"/>
      <c r="G31" s="80"/>
      <c r="H31" s="78"/>
      <c r="I31" s="66" t="s">
        <v>99</v>
      </c>
      <c r="J31" s="92"/>
      <c r="K31" s="92">
        <v>3100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7.3</v>
      </c>
      <c r="E32" s="75">
        <v>7.2</v>
      </c>
      <c r="F32" s="78"/>
      <c r="G32" s="80"/>
      <c r="H32" s="78"/>
      <c r="I32" s="66" t="s">
        <v>66</v>
      </c>
      <c r="J32" s="92"/>
      <c r="K32" s="92">
        <v>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69">
        <v>1009</v>
      </c>
      <c r="E33" s="77">
        <v>555</v>
      </c>
      <c r="F33" s="78"/>
      <c r="G33" s="80"/>
      <c r="H33" s="78"/>
      <c r="I33" s="57" t="s">
        <v>103</v>
      </c>
      <c r="J33" s="64"/>
      <c r="K33" s="162" t="s">
        <v>703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0.294857142857143</v>
      </c>
      <c r="E34" s="80">
        <v>0.257</v>
      </c>
      <c r="F34" s="78"/>
      <c r="G34" s="80"/>
      <c r="H34" s="78"/>
      <c r="I34" s="66" t="s">
        <v>105</v>
      </c>
      <c r="J34" s="64"/>
      <c r="K34" s="168">
        <v>6.5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68">
        <v>78.7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43</v>
      </c>
      <c r="E39" s="64"/>
      <c r="F39" s="64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03">
        <v>51.7871410958904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711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173">
        <v>0.716766675643836</v>
      </c>
    </row>
    <row r="43" ht="15" customHeight="1" spans="1:12">
      <c r="A43" s="157"/>
      <c r="B43" s="66" t="s">
        <v>121</v>
      </c>
      <c r="C43" s="64" t="s">
        <v>122</v>
      </c>
      <c r="D43" s="77">
        <v>536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174">
        <v>132.82762060548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552.08</v>
      </c>
      <c r="E44" s="77"/>
      <c r="F44" s="77"/>
      <c r="G44" s="78"/>
      <c r="H44" s="102"/>
      <c r="I44" s="148" t="s">
        <v>126</v>
      </c>
      <c r="J44" s="64"/>
      <c r="K44" s="13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40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41.2</v>
      </c>
      <c r="E46" s="78"/>
      <c r="F46" s="78"/>
      <c r="G46" s="78"/>
      <c r="H46" s="102"/>
      <c r="I46" s="66"/>
      <c r="J46" s="64" t="s">
        <v>131</v>
      </c>
      <c r="K46" s="77">
        <v>248</v>
      </c>
      <c r="L46" s="174">
        <f>K46*L40/100</f>
        <v>128.432109917808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7">
        <f>K46/K24*100/K25*100</f>
        <v>664.758167411839</v>
      </c>
      <c r="L47" s="174">
        <f>K47*L40/100</f>
        <v>344.259250104025</v>
      </c>
    </row>
    <row r="48" ht="15" customHeight="1" spans="1:13">
      <c r="A48" s="157"/>
      <c r="B48" s="66" t="s">
        <v>135</v>
      </c>
      <c r="C48" s="64" t="s">
        <v>240</v>
      </c>
      <c r="D48" s="69">
        <v>7374.47966280295</v>
      </c>
      <c r="E48" s="69"/>
      <c r="F48" s="78"/>
      <c r="G48" s="78" t="s">
        <v>77</v>
      </c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6164</v>
      </c>
      <c r="E49" s="69"/>
      <c r="F49" s="78"/>
      <c r="G49" s="69"/>
      <c r="H49" s="98"/>
      <c r="I49" s="66"/>
      <c r="J49" s="64" t="s">
        <v>139</v>
      </c>
      <c r="K49" s="150">
        <v>8599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70.4</v>
      </c>
      <c r="E50" s="77"/>
      <c r="F50" s="78"/>
      <c r="G50" s="78"/>
      <c r="H50" s="102"/>
      <c r="I50" s="66"/>
      <c r="J50" s="64" t="s">
        <v>141</v>
      </c>
      <c r="K50" s="150">
        <f>K49/K15</f>
        <v>460.886196769457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320139</v>
      </c>
      <c r="D55" s="69">
        <v>10</v>
      </c>
      <c r="E55" s="111" t="s">
        <v>147</v>
      </c>
      <c r="F55" s="64"/>
      <c r="G55" s="64" t="s">
        <v>148</v>
      </c>
      <c r="H55" s="64"/>
      <c r="I55" s="69">
        <v>692461</v>
      </c>
      <c r="J55" s="69">
        <v>21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704</v>
      </c>
      <c r="H56" s="64"/>
      <c r="I56" s="69">
        <v>870095.080070201</v>
      </c>
      <c r="J56" s="69">
        <v>34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705</v>
      </c>
      <c r="H57" s="64"/>
      <c r="I57" s="69"/>
      <c r="J57" s="69"/>
      <c r="K57" s="111"/>
      <c r="L57" s="114"/>
    </row>
    <row r="58" ht="15" customHeight="1" spans="1:12">
      <c r="A58" s="157"/>
      <c r="B58" s="66"/>
      <c r="C58" s="92"/>
      <c r="D58" s="69"/>
      <c r="E58" s="64"/>
      <c r="F58" s="64"/>
      <c r="G58" s="64" t="s">
        <v>381</v>
      </c>
      <c r="H58" s="64"/>
      <c r="I58" s="69"/>
      <c r="J58" s="69"/>
      <c r="K58" s="111"/>
      <c r="L58" s="114"/>
    </row>
    <row r="59" ht="15" customHeight="1" spans="1:12">
      <c r="A59" s="157"/>
      <c r="B59" s="81"/>
      <c r="C59" s="94"/>
      <c r="D59" s="89"/>
      <c r="E59" s="94"/>
      <c r="F59" s="94"/>
      <c r="G59" s="94"/>
      <c r="H59" s="94"/>
      <c r="I59" s="89"/>
      <c r="J59" s="89"/>
      <c r="K59" s="153"/>
      <c r="L59" s="115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ht="16.8" spans="1:8">
      <c r="A62" s="157"/>
      <c r="G62"/>
      <c r="H62"/>
    </row>
    <row r="63" ht="16.8" spans="7:8">
      <c r="G63"/>
      <c r="H63"/>
    </row>
  </sheetData>
  <mergeCells count="2">
    <mergeCell ref="B2:L2"/>
    <mergeCell ref="I36:L36"/>
  </mergeCells>
  <pageMargins left="0.7" right="0.7" top="0.787401575" bottom="0.787401575" header="0.3" footer="0.3"/>
  <pageSetup paperSize="9" orientation="portrait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K5:W54"/>
  <sheetViews>
    <sheetView zoomScale="85" zoomScaleNormal="85" workbookViewId="0">
      <selection activeCell="A1" sqref="A1"/>
    </sheetView>
  </sheetViews>
  <sheetFormatPr defaultColWidth="11.5" defaultRowHeight="16.8"/>
  <cols>
    <col min="12" max="23" width="5" customWidth="1"/>
  </cols>
  <sheetData>
    <row r="5" spans="12:23">
      <c r="L5" t="s">
        <v>177</v>
      </c>
      <c r="M5" t="s">
        <v>166</v>
      </c>
      <c r="N5" t="s">
        <v>167</v>
      </c>
      <c r="O5" t="s">
        <v>168</v>
      </c>
      <c r="P5" t="s">
        <v>169</v>
      </c>
      <c r="Q5" t="s">
        <v>170</v>
      </c>
      <c r="R5" t="s">
        <v>171</v>
      </c>
      <c r="S5" t="s">
        <v>172</v>
      </c>
      <c r="T5" t="s">
        <v>173</v>
      </c>
      <c r="U5" t="s">
        <v>174</v>
      </c>
      <c r="V5" t="s">
        <v>175</v>
      </c>
      <c r="W5" t="s">
        <v>176</v>
      </c>
    </row>
    <row r="6" spans="11:23">
      <c r="K6" t="s">
        <v>155</v>
      </c>
      <c r="L6">
        <v>19.8</v>
      </c>
      <c r="M6">
        <v>15.2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38.1</v>
      </c>
    </row>
    <row r="7" spans="11:23">
      <c r="K7" t="s">
        <v>58</v>
      </c>
      <c r="L7">
        <v>39.7</v>
      </c>
      <c r="M7">
        <v>37.2</v>
      </c>
      <c r="N7">
        <v>51.5</v>
      </c>
      <c r="O7">
        <v>50.2</v>
      </c>
      <c r="P7">
        <v>58.5</v>
      </c>
      <c r="Q7">
        <v>57.4</v>
      </c>
      <c r="R7">
        <v>61</v>
      </c>
      <c r="S7">
        <v>63.3</v>
      </c>
      <c r="T7">
        <v>61.3</v>
      </c>
      <c r="U7">
        <v>71.8</v>
      </c>
      <c r="V7">
        <v>98.4</v>
      </c>
      <c r="W7">
        <v>49.9</v>
      </c>
    </row>
    <row r="8" spans="11:23">
      <c r="K8" t="s">
        <v>157</v>
      </c>
      <c r="L8">
        <v>7.2</v>
      </c>
      <c r="M8">
        <v>14.9</v>
      </c>
      <c r="N8">
        <v>14.2</v>
      </c>
      <c r="O8">
        <v>11.4</v>
      </c>
      <c r="P8">
        <v>8.8</v>
      </c>
      <c r="Q8">
        <v>11.4</v>
      </c>
      <c r="R8">
        <v>10.2</v>
      </c>
      <c r="S8">
        <v>5.1</v>
      </c>
      <c r="T8">
        <v>4.6</v>
      </c>
      <c r="U8">
        <v>0</v>
      </c>
      <c r="V8">
        <v>0</v>
      </c>
      <c r="W8">
        <v>0</v>
      </c>
    </row>
    <row r="9" spans="11:23">
      <c r="K9" t="s">
        <v>698</v>
      </c>
      <c r="L9">
        <v>10.7</v>
      </c>
      <c r="M9">
        <v>5.6</v>
      </c>
      <c r="N9">
        <v>11.1</v>
      </c>
      <c r="O9">
        <v>11.8</v>
      </c>
      <c r="P9">
        <v>9.4</v>
      </c>
      <c r="Q9">
        <v>15.1</v>
      </c>
      <c r="R9">
        <v>17.7</v>
      </c>
      <c r="S9">
        <v>19.7</v>
      </c>
      <c r="T9">
        <v>22.4</v>
      </c>
      <c r="U9">
        <v>24.4</v>
      </c>
      <c r="V9">
        <v>0</v>
      </c>
      <c r="W9">
        <v>0</v>
      </c>
    </row>
    <row r="10" spans="11:23">
      <c r="K10" t="s">
        <v>706</v>
      </c>
      <c r="L10">
        <v>12</v>
      </c>
      <c r="M10">
        <v>17.2</v>
      </c>
      <c r="N10">
        <v>16.6</v>
      </c>
      <c r="O10">
        <v>16.3</v>
      </c>
      <c r="P10">
        <v>15.8</v>
      </c>
      <c r="Q10">
        <v>15.2</v>
      </c>
      <c r="R10">
        <v>11</v>
      </c>
      <c r="S10">
        <v>11.9</v>
      </c>
      <c r="T10">
        <v>11.6</v>
      </c>
      <c r="U10">
        <v>3.7</v>
      </c>
      <c r="V10">
        <v>1.6</v>
      </c>
      <c r="W10">
        <v>12</v>
      </c>
    </row>
    <row r="11" spans="11:23">
      <c r="K11" t="s">
        <v>707</v>
      </c>
      <c r="L11">
        <v>10.6</v>
      </c>
      <c r="M11">
        <v>9.9</v>
      </c>
      <c r="N11">
        <v>6.6</v>
      </c>
      <c r="O11">
        <v>10.2</v>
      </c>
      <c r="P11">
        <v>7.4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1:23">
      <c r="K12" t="s">
        <v>661</v>
      </c>
      <c r="L12">
        <v>26.96233333</v>
      </c>
      <c r="M12">
        <v>25.52032258</v>
      </c>
      <c r="N12">
        <v>22.35666667</v>
      </c>
      <c r="O12">
        <v>19.63703226</v>
      </c>
      <c r="P12">
        <v>20.68903226</v>
      </c>
      <c r="Q12">
        <v>18.68214286</v>
      </c>
      <c r="R12">
        <v>20.85967742</v>
      </c>
      <c r="S12">
        <v>21.00766667</v>
      </c>
      <c r="T12">
        <v>17.7583871</v>
      </c>
      <c r="U12">
        <v>6.289333333</v>
      </c>
      <c r="V12">
        <v>3.867741935</v>
      </c>
      <c r="W12">
        <v>20.31290323</v>
      </c>
    </row>
    <row r="25" spans="12:12">
      <c r="L25" t="s">
        <v>104</v>
      </c>
    </row>
    <row r="26" spans="11:12">
      <c r="K26" t="s">
        <v>177</v>
      </c>
      <c r="L26">
        <v>0.343</v>
      </c>
    </row>
    <row r="27" spans="11:12">
      <c r="K27" t="s">
        <v>166</v>
      </c>
      <c r="L27">
        <v>0.314</v>
      </c>
    </row>
    <row r="28" spans="11:12">
      <c r="K28" t="s">
        <v>167</v>
      </c>
      <c r="L28">
        <v>0.343</v>
      </c>
    </row>
    <row r="29" spans="11:12">
      <c r="K29" t="s">
        <v>168</v>
      </c>
      <c r="L29">
        <v>0.338</v>
      </c>
    </row>
    <row r="30" spans="11:11">
      <c r="K30" t="s">
        <v>169</v>
      </c>
    </row>
    <row r="31" spans="11:12">
      <c r="K31" t="s">
        <v>170</v>
      </c>
      <c r="L31">
        <v>0.247</v>
      </c>
    </row>
    <row r="32" spans="11:12">
      <c r="K32" t="s">
        <v>171</v>
      </c>
      <c r="L32">
        <v>0.173</v>
      </c>
    </row>
    <row r="33" spans="11:11">
      <c r="K33" t="s">
        <v>172</v>
      </c>
    </row>
    <row r="34" spans="11:12">
      <c r="K34" t="s">
        <v>173</v>
      </c>
      <c r="L34">
        <v>0.306</v>
      </c>
    </row>
    <row r="35" spans="11:11">
      <c r="K35" t="s">
        <v>174</v>
      </c>
    </row>
    <row r="36" spans="11:11">
      <c r="K36" t="s">
        <v>175</v>
      </c>
    </row>
    <row r="37" spans="11:11">
      <c r="K37" t="s">
        <v>176</v>
      </c>
    </row>
    <row r="42" spans="12:13">
      <c r="L42" t="s">
        <v>183</v>
      </c>
      <c r="M42" t="s">
        <v>184</v>
      </c>
    </row>
    <row r="43" spans="11:13">
      <c r="K43" t="s">
        <v>177</v>
      </c>
      <c r="L43">
        <v>89.85837499</v>
      </c>
      <c r="M43">
        <v>22.27371965</v>
      </c>
    </row>
    <row r="44" spans="11:13">
      <c r="K44" t="s">
        <v>166</v>
      </c>
      <c r="L44">
        <v>93.46607945</v>
      </c>
      <c r="M44">
        <v>21.4341271</v>
      </c>
    </row>
    <row r="45" spans="11:13">
      <c r="K45" t="s">
        <v>167</v>
      </c>
      <c r="L45">
        <v>91.44532654</v>
      </c>
      <c r="M45">
        <v>22.62353186</v>
      </c>
    </row>
    <row r="46" spans="11:13">
      <c r="K46" t="s">
        <v>168</v>
      </c>
      <c r="L46">
        <v>82.4633594</v>
      </c>
      <c r="M46">
        <v>22.03584452</v>
      </c>
    </row>
    <row r="47" spans="11:13">
      <c r="K47" t="s">
        <v>169</v>
      </c>
      <c r="L47">
        <v>84.50260781</v>
      </c>
      <c r="M47">
        <v>28.919871</v>
      </c>
    </row>
    <row r="48" spans="11:13">
      <c r="K48" t="s">
        <v>170</v>
      </c>
      <c r="L48">
        <v>83.42930184</v>
      </c>
      <c r="M48">
        <v>26.45052923</v>
      </c>
    </row>
    <row r="49" spans="11:13">
      <c r="K49" t="s">
        <v>171</v>
      </c>
      <c r="L49">
        <v>82.87805927</v>
      </c>
      <c r="M49">
        <v>29.72995842</v>
      </c>
    </row>
    <row r="50" spans="11:13">
      <c r="K50" t="s">
        <v>172</v>
      </c>
      <c r="L50">
        <v>88.55647032</v>
      </c>
      <c r="M50">
        <v>28.02101136</v>
      </c>
    </row>
    <row r="51" spans="11:13">
      <c r="K51" t="s">
        <v>173</v>
      </c>
      <c r="L51">
        <v>77.87873902</v>
      </c>
      <c r="M51">
        <v>26.93462256</v>
      </c>
    </row>
    <row r="52" spans="11:13">
      <c r="K52" t="s">
        <v>174</v>
      </c>
      <c r="L52">
        <v>19.58356475</v>
      </c>
      <c r="M52">
        <v>37.93491814</v>
      </c>
    </row>
    <row r="53" spans="11:13">
      <c r="K53" t="s">
        <v>175</v>
      </c>
      <c r="L53">
        <v>4.348025407</v>
      </c>
      <c r="M53">
        <v>105.073138</v>
      </c>
    </row>
    <row r="54" spans="11:13">
      <c r="K54" t="s">
        <v>176</v>
      </c>
      <c r="L54">
        <v>45.92945992</v>
      </c>
      <c r="M54">
        <v>32.32984778</v>
      </c>
    </row>
  </sheetData>
  <pageMargins left="0.7" right="0.7" top="0.787401575" bottom="0.787401575" header="0.3" footer="0.3"/>
  <headerFooter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499984740745262"/>
  </sheetPr>
  <dimension ref="A1:T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708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709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2010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368</v>
      </c>
      <c r="D6" s="95"/>
      <c r="E6" s="95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369</v>
      </c>
      <c r="D7" s="95"/>
      <c r="E7" s="95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280</v>
      </c>
      <c r="D8" s="95"/>
      <c r="E8" s="95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281</v>
      </c>
      <c r="D9" s="95"/>
      <c r="E9" s="95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710</v>
      </c>
      <c r="D10" s="95"/>
      <c r="E10" s="95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4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  <c r="N12" s="179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78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78"/>
      <c r="G14" s="68"/>
      <c r="H14" s="64"/>
      <c r="I14" s="57" t="s">
        <v>248</v>
      </c>
      <c r="J14" s="64"/>
      <c r="K14" s="161">
        <v>6388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1250</v>
      </c>
      <c r="E15" s="69">
        <v>1250</v>
      </c>
      <c r="F15" s="78"/>
      <c r="G15" s="69"/>
      <c r="H15" s="98">
        <f>SUM(D15:E15)</f>
        <v>2500</v>
      </c>
      <c r="I15" s="57" t="s">
        <v>249</v>
      </c>
      <c r="J15" s="64"/>
      <c r="K15" s="162">
        <f>K14/365</f>
        <v>17.5013698630137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1200</v>
      </c>
      <c r="E16" s="69">
        <v>1200</v>
      </c>
      <c r="F16" s="78"/>
      <c r="G16" s="69"/>
      <c r="H16" s="98">
        <f>SUM(D16:E16)</f>
        <v>2400</v>
      </c>
      <c r="I16" s="56" t="s">
        <v>437</v>
      </c>
      <c r="J16" s="56"/>
      <c r="K16" s="163">
        <v>15.7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8"/>
      <c r="G17" s="70"/>
      <c r="H17" s="98"/>
      <c r="I17" s="56" t="s">
        <v>155</v>
      </c>
      <c r="J17" s="56"/>
      <c r="K17" s="164">
        <v>19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450</v>
      </c>
      <c r="E18" s="71">
        <v>450</v>
      </c>
      <c r="F18" s="78"/>
      <c r="G18" s="71"/>
      <c r="H18" s="98">
        <f>SUM(D18:E18)</f>
        <v>900</v>
      </c>
      <c r="I18" s="56" t="s">
        <v>655</v>
      </c>
      <c r="J18" s="56"/>
      <c r="K18" s="164">
        <v>7.4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99"/>
      <c r="G19" s="70"/>
      <c r="H19" s="100"/>
      <c r="I19" s="56" t="s">
        <v>667</v>
      </c>
      <c r="J19" s="56"/>
      <c r="K19" s="164">
        <v>57.9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8"/>
      <c r="G20" s="74"/>
      <c r="H20" s="101"/>
      <c r="I20" s="56"/>
      <c r="J20" s="56"/>
      <c r="K20" s="164"/>
      <c r="L20" s="118"/>
      <c r="M20" s="178"/>
    </row>
    <row r="21" ht="15" customHeight="1" spans="1:13">
      <c r="A21" s="157"/>
      <c r="B21" s="66" t="s">
        <v>71</v>
      </c>
      <c r="C21" s="64" t="s">
        <v>59</v>
      </c>
      <c r="D21" s="75">
        <v>19.2172727272727</v>
      </c>
      <c r="E21" s="75">
        <v>18.3319</v>
      </c>
      <c r="F21" s="78"/>
      <c r="G21" s="77"/>
      <c r="H21" s="102"/>
      <c r="I21" s="56"/>
      <c r="J21" s="56"/>
      <c r="K21" s="164"/>
      <c r="L21" s="118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71.2948333333333</v>
      </c>
      <c r="E22" s="75">
        <v>70.182</v>
      </c>
      <c r="F22" s="78"/>
      <c r="G22" s="77"/>
      <c r="H22" s="78"/>
      <c r="I22" s="57"/>
      <c r="J22" s="56"/>
      <c r="K22" s="164"/>
      <c r="L22" s="118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78"/>
      <c r="G23" s="78"/>
      <c r="H23" s="75" t="s">
        <v>638</v>
      </c>
      <c r="I23" s="125" t="s">
        <v>76</v>
      </c>
      <c r="J23" s="56"/>
      <c r="K23" s="165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78"/>
      <c r="G24" s="78"/>
      <c r="H24" s="699" t="s">
        <v>711</v>
      </c>
      <c r="I24" s="127" t="s">
        <v>80</v>
      </c>
      <c r="J24" s="56"/>
      <c r="K24" s="163">
        <v>41.1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8"/>
      <c r="G25" s="77"/>
      <c r="H25" s="699" t="s">
        <v>712</v>
      </c>
      <c r="I25" s="128" t="s">
        <v>83</v>
      </c>
      <c r="J25" s="56"/>
      <c r="K25" s="163">
        <v>87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713</v>
      </c>
      <c r="I26" s="57" t="s">
        <v>86</v>
      </c>
      <c r="J26" s="56"/>
      <c r="K26" s="163">
        <v>62.7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254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255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8.33366666666667</v>
      </c>
      <c r="E29" s="75">
        <v>8.4</v>
      </c>
      <c r="F29" s="78"/>
      <c r="G29" s="80"/>
      <c r="H29" s="78"/>
      <c r="I29" s="66" t="s">
        <v>26</v>
      </c>
      <c r="J29" s="64"/>
      <c r="K29" s="6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44</v>
      </c>
      <c r="E30" s="77">
        <v>44</v>
      </c>
      <c r="F30" s="78"/>
      <c r="G30" s="77"/>
      <c r="H30" s="78"/>
      <c r="I30" s="66" t="s">
        <v>96</v>
      </c>
      <c r="J30" s="92"/>
      <c r="K30" s="92">
        <v>3000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5.775</v>
      </c>
      <c r="E31" s="75"/>
      <c r="F31" s="78"/>
      <c r="G31" s="80"/>
      <c r="H31" s="78"/>
      <c r="I31" s="66" t="s">
        <v>99</v>
      </c>
      <c r="J31" s="92"/>
      <c r="K31" s="92">
        <v>500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10.825</v>
      </c>
      <c r="E32" s="75"/>
      <c r="F32" s="78"/>
      <c r="G32" s="80"/>
      <c r="H32" s="78"/>
      <c r="I32" s="66" t="s">
        <v>66</v>
      </c>
      <c r="J32" s="92"/>
      <c r="K32" s="92">
        <v>1500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69">
        <v>3907</v>
      </c>
      <c r="E33" s="69">
        <v>3373</v>
      </c>
      <c r="F33" s="78"/>
      <c r="G33" s="80"/>
      <c r="H33" s="78"/>
      <c r="I33" s="57" t="s">
        <v>103</v>
      </c>
      <c r="J33" s="64"/>
      <c r="K33" s="162" t="s">
        <v>714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710">
        <v>0.46</v>
      </c>
      <c r="E34" s="710">
        <v>0.35</v>
      </c>
      <c r="F34" s="78"/>
      <c r="G34" s="80"/>
      <c r="H34" s="78"/>
      <c r="I34" s="66" t="s">
        <v>105</v>
      </c>
      <c r="J34" s="64"/>
      <c r="K34" s="168">
        <v>13.777375</v>
      </c>
      <c r="L34" s="114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68">
        <v>62.20175</v>
      </c>
      <c r="L35" s="114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43</v>
      </c>
      <c r="E39" s="78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03">
        <v>52.2725917337771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711" t="s">
        <v>117</v>
      </c>
    </row>
    <row r="42" ht="15" customHeight="1" spans="1:12">
      <c r="A42" s="157"/>
      <c r="B42" s="66" t="s">
        <v>118</v>
      </c>
      <c r="C42" s="64"/>
      <c r="D42" s="78" t="s">
        <v>301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173">
        <v>0.179724416044007</v>
      </c>
    </row>
    <row r="43" ht="15" customHeight="1" spans="1:12">
      <c r="A43" s="157"/>
      <c r="B43" s="66" t="s">
        <v>121</v>
      </c>
      <c r="C43" s="64" t="s">
        <v>122</v>
      </c>
      <c r="D43" s="77">
        <v>265</v>
      </c>
      <c r="E43" s="77">
        <v>530</v>
      </c>
      <c r="F43" s="77"/>
      <c r="G43" s="78"/>
      <c r="H43" s="102"/>
      <c r="I43" s="66"/>
      <c r="J43" s="64" t="s">
        <v>123</v>
      </c>
      <c r="K43" s="144" t="s">
        <v>124</v>
      </c>
      <c r="L43" s="174">
        <v>56.0614701173994</v>
      </c>
    </row>
    <row r="44" ht="15" customHeight="1" spans="1:17">
      <c r="A44" s="157"/>
      <c r="B44" s="66" t="s">
        <v>125</v>
      </c>
      <c r="C44" s="64" t="s">
        <v>122</v>
      </c>
      <c r="D44" s="77">
        <v>192</v>
      </c>
      <c r="E44" s="77">
        <v>576</v>
      </c>
      <c r="F44" s="77"/>
      <c r="G44" s="78"/>
      <c r="H44" s="102"/>
      <c r="I44" s="148" t="s">
        <v>126</v>
      </c>
      <c r="J44" s="64"/>
      <c r="K44" s="13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46</v>
      </c>
      <c r="E45" s="75">
        <v>39</v>
      </c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38</v>
      </c>
      <c r="E46" s="78">
        <v>40.7</v>
      </c>
      <c r="F46" s="78"/>
      <c r="G46" s="78"/>
      <c r="H46" s="102"/>
      <c r="I46" s="66"/>
      <c r="J46" s="64" t="s">
        <v>131</v>
      </c>
      <c r="K46" s="77">
        <f>3655.47177059824/K15</f>
        <v>208.867751450901</v>
      </c>
      <c r="L46" s="174">
        <f>K46*L40/100</f>
        <v>109.18058697945</v>
      </c>
      <c r="M46" s="180"/>
    </row>
    <row r="47" ht="15" customHeight="1" spans="1:12">
      <c r="A47" s="157"/>
      <c r="B47" s="57" t="s">
        <v>132</v>
      </c>
      <c r="C47" s="56" t="s">
        <v>62</v>
      </c>
      <c r="D47" s="78" t="s">
        <v>133</v>
      </c>
      <c r="E47" s="70" t="s">
        <v>318</v>
      </c>
      <c r="F47" s="78"/>
      <c r="G47" s="78"/>
      <c r="H47" s="102"/>
      <c r="I47" s="66"/>
      <c r="J47" s="64" t="s">
        <v>134</v>
      </c>
      <c r="K47" s="77">
        <f>K46/K24*100/K25*100</f>
        <v>584.131083286912</v>
      </c>
      <c r="L47" s="174">
        <f>K47*L40/100</f>
        <v>305.340456356657</v>
      </c>
    </row>
    <row r="48" ht="15" customHeight="1" spans="1:13">
      <c r="A48" s="157"/>
      <c r="B48" s="66" t="s">
        <v>135</v>
      </c>
      <c r="C48" s="64" t="s">
        <v>240</v>
      </c>
      <c r="D48" s="69">
        <v>6480.39835390945</v>
      </c>
      <c r="E48" s="69">
        <v>3798.18271604938</v>
      </c>
      <c r="F48" s="78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8760*0.7</f>
        <v>6132</v>
      </c>
      <c r="E49" s="69">
        <v>2304.92186505163</v>
      </c>
      <c r="F49" s="78"/>
      <c r="G49" s="69"/>
      <c r="H49" s="98"/>
      <c r="I49" s="66"/>
      <c r="J49" s="64" t="s">
        <v>139</v>
      </c>
      <c r="K49" s="69">
        <v>7797.69589041096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v>69.9814944224447</v>
      </c>
      <c r="E50" s="77">
        <v>26.3118934366625</v>
      </c>
      <c r="F50" s="78"/>
      <c r="G50" s="78"/>
      <c r="H50" s="102"/>
      <c r="I50" s="66"/>
      <c r="J50" s="64" t="s">
        <v>141</v>
      </c>
      <c r="K50" s="69">
        <f>K49/K15</f>
        <v>445.547745773325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184849</v>
      </c>
      <c r="D55" s="69">
        <v>6.5</v>
      </c>
      <c r="E55" s="111" t="s">
        <v>147</v>
      </c>
      <c r="F55" s="64"/>
      <c r="G55" s="64" t="s">
        <v>148</v>
      </c>
      <c r="H55" s="64"/>
      <c r="I55" s="69">
        <v>380800</v>
      </c>
      <c r="J55" s="69">
        <v>15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643</v>
      </c>
      <c r="H56" s="64"/>
      <c r="I56" s="69">
        <v>525858.999999998</v>
      </c>
      <c r="J56" s="69">
        <v>20.7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3:8">
      <c r="C61" s="156" t="s">
        <v>77</v>
      </c>
      <c r="G61"/>
      <c r="H61"/>
    </row>
  </sheetData>
  <mergeCells count="2">
    <mergeCell ref="B2:L2"/>
    <mergeCell ref="I36:L36"/>
  </mergeCells>
  <pageMargins left="0.7" right="0.7" top="0.787401575" bottom="0.7874015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499984740745262"/>
  </sheetPr>
  <dimension ref="J6:V53"/>
  <sheetViews>
    <sheetView zoomScale="85" zoomScaleNormal="85" workbookViewId="0">
      <selection activeCell="A1" sqref="A1"/>
    </sheetView>
  </sheetViews>
  <sheetFormatPr defaultColWidth="11.5" defaultRowHeight="16.8"/>
  <cols>
    <col min="11" max="12" width="5" customWidth="1"/>
    <col min="13" max="13" width="5.5" customWidth="1"/>
    <col min="14" max="22" width="5" customWidth="1"/>
  </cols>
  <sheetData>
    <row r="6" spans="11:22">
      <c r="K6" t="s">
        <v>177</v>
      </c>
      <c r="L6" t="s">
        <v>166</v>
      </c>
      <c r="M6" t="s">
        <v>167</v>
      </c>
      <c r="N6" t="s">
        <v>168</v>
      </c>
      <c r="O6" t="s">
        <v>169</v>
      </c>
      <c r="P6" t="s">
        <v>170</v>
      </c>
      <c r="Q6" t="s">
        <v>171</v>
      </c>
      <c r="R6" t="s">
        <v>172</v>
      </c>
      <c r="S6" t="s">
        <v>173</v>
      </c>
      <c r="T6" t="s">
        <v>174</v>
      </c>
      <c r="U6" t="s">
        <v>175</v>
      </c>
      <c r="V6" t="s">
        <v>176</v>
      </c>
    </row>
    <row r="7" spans="10:22">
      <c r="J7" t="s">
        <v>667</v>
      </c>
      <c r="K7">
        <v>68.1</v>
      </c>
      <c r="L7">
        <v>65.4</v>
      </c>
      <c r="M7">
        <v>61.6</v>
      </c>
      <c r="N7">
        <v>56.4</v>
      </c>
      <c r="O7">
        <v>48.4</v>
      </c>
      <c r="P7">
        <v>50.1</v>
      </c>
      <c r="Q7">
        <v>52.9</v>
      </c>
      <c r="R7">
        <v>55.5</v>
      </c>
      <c r="S7">
        <v>51.5</v>
      </c>
      <c r="T7">
        <v>55.3</v>
      </c>
      <c r="U7">
        <v>61.6</v>
      </c>
      <c r="V7">
        <v>62.9</v>
      </c>
    </row>
    <row r="8" spans="10:22">
      <c r="J8" t="s">
        <v>655</v>
      </c>
      <c r="K8">
        <v>0</v>
      </c>
      <c r="L8">
        <v>0.3</v>
      </c>
      <c r="M8">
        <v>4.9</v>
      </c>
      <c r="N8">
        <v>10.3</v>
      </c>
      <c r="O8">
        <v>13.2</v>
      </c>
      <c r="P8">
        <v>12.9</v>
      </c>
      <c r="Q8">
        <v>13.9</v>
      </c>
      <c r="R8">
        <v>12.2</v>
      </c>
      <c r="S8">
        <v>14.9</v>
      </c>
      <c r="T8">
        <v>10.2</v>
      </c>
      <c r="U8">
        <v>0.3</v>
      </c>
      <c r="V8">
        <v>0</v>
      </c>
    </row>
    <row r="9" spans="10:22">
      <c r="J9" t="s">
        <v>155</v>
      </c>
      <c r="K9">
        <v>19.5</v>
      </c>
      <c r="L9">
        <v>18.4</v>
      </c>
      <c r="M9">
        <v>18.3</v>
      </c>
      <c r="N9">
        <v>17.1</v>
      </c>
      <c r="O9">
        <v>22</v>
      </c>
      <c r="P9">
        <v>15.1</v>
      </c>
      <c r="Q9">
        <v>17.4</v>
      </c>
      <c r="R9">
        <v>15</v>
      </c>
      <c r="S9">
        <v>16</v>
      </c>
      <c r="T9">
        <v>18</v>
      </c>
      <c r="U9">
        <v>26.6</v>
      </c>
      <c r="V9">
        <v>23.2</v>
      </c>
    </row>
    <row r="10" spans="10:22">
      <c r="J10" t="s">
        <v>437</v>
      </c>
      <c r="K10">
        <v>12.4</v>
      </c>
      <c r="L10">
        <v>15.9</v>
      </c>
      <c r="M10">
        <v>15.2</v>
      </c>
      <c r="N10">
        <v>16.2</v>
      </c>
      <c r="O10">
        <v>16.4</v>
      </c>
      <c r="P10">
        <v>21.9</v>
      </c>
      <c r="Q10">
        <v>15.8</v>
      </c>
      <c r="R10">
        <v>17.4</v>
      </c>
      <c r="S10">
        <v>17.6</v>
      </c>
      <c r="T10">
        <v>16.5</v>
      </c>
      <c r="U10">
        <v>11.4</v>
      </c>
      <c r="V10">
        <v>14</v>
      </c>
    </row>
    <row r="11" spans="10:22">
      <c r="J11" t="s">
        <v>646</v>
      </c>
      <c r="K11">
        <v>21.1</v>
      </c>
      <c r="L11">
        <v>18.7</v>
      </c>
      <c r="M11">
        <v>19.9</v>
      </c>
      <c r="N11">
        <v>20.2</v>
      </c>
      <c r="O11">
        <v>18.8</v>
      </c>
      <c r="P11">
        <v>14.8</v>
      </c>
      <c r="Q11">
        <v>15.7</v>
      </c>
      <c r="R11">
        <v>16</v>
      </c>
      <c r="S11">
        <v>15.3</v>
      </c>
      <c r="T11">
        <v>14.7</v>
      </c>
      <c r="U11">
        <v>17.1</v>
      </c>
      <c r="V11">
        <v>17.3</v>
      </c>
    </row>
    <row r="24" spans="11:12">
      <c r="K24" t="s">
        <v>22</v>
      </c>
      <c r="L24" t="s">
        <v>23</v>
      </c>
    </row>
    <row r="25" spans="10:11">
      <c r="J25" t="s">
        <v>177</v>
      </c>
      <c r="K25">
        <v>0.27</v>
      </c>
    </row>
    <row r="26" spans="10:11">
      <c r="J26" t="s">
        <v>166</v>
      </c>
      <c r="K26">
        <v>0.41</v>
      </c>
    </row>
    <row r="27" spans="10:12">
      <c r="J27" t="s">
        <v>167</v>
      </c>
      <c r="K27">
        <v>0.55</v>
      </c>
      <c r="L27">
        <v>0.25</v>
      </c>
    </row>
    <row r="28" spans="10:12">
      <c r="J28" t="s">
        <v>168</v>
      </c>
      <c r="K28">
        <v>0.43</v>
      </c>
      <c r="L28">
        <v>0.44</v>
      </c>
    </row>
    <row r="29" spans="10:11">
      <c r="J29" t="s">
        <v>169</v>
      </c>
      <c r="K29">
        <v>0.25</v>
      </c>
    </row>
    <row r="30" spans="10:12">
      <c r="J30" t="s">
        <v>170</v>
      </c>
      <c r="K30">
        <v>0.28</v>
      </c>
      <c r="L30">
        <v>0.22</v>
      </c>
    </row>
    <row r="31" spans="10:12">
      <c r="J31" t="s">
        <v>171</v>
      </c>
      <c r="K31">
        <v>0.24</v>
      </c>
      <c r="L31">
        <v>0.18</v>
      </c>
    </row>
    <row r="32" spans="10:12">
      <c r="J32" t="s">
        <v>172</v>
      </c>
      <c r="K32">
        <v>0.5</v>
      </c>
      <c r="L32">
        <v>0.31</v>
      </c>
    </row>
    <row r="33" spans="10:11">
      <c r="J33" t="s">
        <v>173</v>
      </c>
      <c r="K33">
        <v>0.5</v>
      </c>
    </row>
    <row r="34" spans="10:12">
      <c r="J34" t="s">
        <v>174</v>
      </c>
      <c r="K34">
        <v>0.65</v>
      </c>
      <c r="L34">
        <v>0.53</v>
      </c>
    </row>
    <row r="35" spans="10:11">
      <c r="J35" t="s">
        <v>175</v>
      </c>
      <c r="K35">
        <v>0.74</v>
      </c>
    </row>
    <row r="36" spans="10:12">
      <c r="J36" t="s">
        <v>176</v>
      </c>
      <c r="K36">
        <v>0.67</v>
      </c>
      <c r="L36">
        <v>0.5</v>
      </c>
    </row>
    <row r="41" spans="12:13">
      <c r="L41" t="s">
        <v>183</v>
      </c>
      <c r="M41" t="s">
        <v>184</v>
      </c>
    </row>
    <row r="42" spans="11:13">
      <c r="K42" t="s">
        <v>177</v>
      </c>
      <c r="L42" s="191">
        <v>88.95</v>
      </c>
      <c r="M42" s="191">
        <v>17.19</v>
      </c>
    </row>
    <row r="43" spans="11:13">
      <c r="K43" t="s">
        <v>166</v>
      </c>
      <c r="L43" s="191">
        <v>79.06</v>
      </c>
      <c r="M43" s="191">
        <v>19.34</v>
      </c>
    </row>
    <row r="44" spans="11:13">
      <c r="K44" t="s">
        <v>167</v>
      </c>
      <c r="L44" s="191">
        <v>84.1</v>
      </c>
      <c r="M44" s="191">
        <v>18.19</v>
      </c>
    </row>
    <row r="45" spans="11:13">
      <c r="K45" t="s">
        <v>168</v>
      </c>
      <c r="L45" s="191">
        <v>85.13</v>
      </c>
      <c r="M45" s="191">
        <v>17.97</v>
      </c>
    </row>
    <row r="46" spans="11:13">
      <c r="K46" t="s">
        <v>169</v>
      </c>
      <c r="L46" s="191">
        <v>79.55</v>
      </c>
      <c r="M46" s="191">
        <v>19.23</v>
      </c>
    </row>
    <row r="47" spans="11:13">
      <c r="K47" t="s">
        <v>170</v>
      </c>
      <c r="L47" s="191">
        <v>62.66</v>
      </c>
      <c r="M47" s="191">
        <v>24.41</v>
      </c>
    </row>
    <row r="48" spans="11:13">
      <c r="K48" t="s">
        <v>171</v>
      </c>
      <c r="L48" s="191">
        <v>66.47</v>
      </c>
      <c r="M48" s="191">
        <v>23.01</v>
      </c>
    </row>
    <row r="49" spans="11:13">
      <c r="K49" t="s">
        <v>172</v>
      </c>
      <c r="L49" s="191">
        <v>67.38</v>
      </c>
      <c r="M49" s="191">
        <v>22.7</v>
      </c>
    </row>
    <row r="50" spans="11:13">
      <c r="K50" t="s">
        <v>173</v>
      </c>
      <c r="L50" s="191">
        <v>64.77</v>
      </c>
      <c r="M50" s="191">
        <v>23.61</v>
      </c>
    </row>
    <row r="51" spans="11:13">
      <c r="K51" t="s">
        <v>174</v>
      </c>
      <c r="L51" s="191">
        <v>61.95</v>
      </c>
      <c r="M51" s="191">
        <v>24.69</v>
      </c>
    </row>
    <row r="52" spans="11:13">
      <c r="K52" t="s">
        <v>175</v>
      </c>
      <c r="L52" s="191">
        <v>72.31</v>
      </c>
      <c r="M52" s="191">
        <v>21.15</v>
      </c>
    </row>
    <row r="53" spans="11:13">
      <c r="K53" t="s">
        <v>176</v>
      </c>
      <c r="L53" s="191">
        <v>72.91</v>
      </c>
      <c r="M53" s="191">
        <v>20.98</v>
      </c>
    </row>
  </sheetData>
  <pageMargins left="0.7" right="0.7" top="0.787401575" bottom="0.787401575" header="0.3" footer="0.3"/>
  <headerFooter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499984740745262"/>
  </sheetPr>
  <dimension ref="A1:O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708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795</v>
      </c>
      <c r="G3" s="22"/>
      <c r="H3" s="23" t="s">
        <v>187</v>
      </c>
      <c r="I3" s="5" t="s">
        <v>188</v>
      </c>
      <c r="J3" s="35">
        <v>2889713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440</v>
      </c>
      <c r="G4" s="217"/>
      <c r="H4" s="25" t="s">
        <v>187</v>
      </c>
      <c r="I4" s="7" t="s">
        <v>191</v>
      </c>
      <c r="J4" s="37">
        <v>1573000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98.9303166770343</v>
      </c>
      <c r="H6" s="27" t="s">
        <v>195</v>
      </c>
      <c r="I6" s="1"/>
      <c r="J6" s="40">
        <v>753706.87</v>
      </c>
      <c r="K6" s="41" t="s">
        <v>196</v>
      </c>
      <c r="L6" s="1"/>
    </row>
    <row r="7" ht="21.75" customHeight="1" spans="1:14">
      <c r="A7" s="1"/>
      <c r="B7" s="11"/>
      <c r="C7" s="1" t="s">
        <v>197</v>
      </c>
      <c r="D7" s="1"/>
      <c r="E7" s="1"/>
      <c r="F7" s="1"/>
      <c r="G7" s="26">
        <v>0.675908286748871</v>
      </c>
      <c r="H7" s="27" t="s">
        <v>195</v>
      </c>
      <c r="I7" s="1"/>
      <c r="J7" s="40">
        <v>5149.45</v>
      </c>
      <c r="K7" s="41" t="s">
        <v>196</v>
      </c>
      <c r="L7" s="1"/>
      <c r="N7" t="s">
        <v>77</v>
      </c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0.393775036216803</v>
      </c>
      <c r="H8" s="27" t="s">
        <v>195</v>
      </c>
      <c r="I8" s="1"/>
      <c r="J8" s="40">
        <v>3000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761856.32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26.2666144501415</v>
      </c>
      <c r="H11" s="27" t="s">
        <v>195</v>
      </c>
      <c r="I11" s="1"/>
      <c r="J11" s="40">
        <v>185780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25</v>
      </c>
      <c r="F14" s="15" t="s">
        <v>204</v>
      </c>
      <c r="G14" s="31"/>
      <c r="H14" s="15"/>
      <c r="I14" s="15"/>
      <c r="J14" s="45">
        <v>79650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86.2312138728324</v>
      </c>
      <c r="F15" s="15" t="s">
        <v>204</v>
      </c>
      <c r="G15" s="31"/>
      <c r="H15" s="15"/>
      <c r="I15" s="15"/>
      <c r="J15" s="45">
        <v>74590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2.47424778166367</v>
      </c>
      <c r="H16" s="27" t="s">
        <v>195</v>
      </c>
      <c r="I16" s="1"/>
      <c r="J16" s="40">
        <v>17500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9.33144877656011</v>
      </c>
      <c r="H17" s="27" t="s">
        <v>195</v>
      </c>
      <c r="I17" s="1"/>
      <c r="J17" s="40">
        <v>66000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13.6884817700322</v>
      </c>
      <c r="H18" s="27" t="s">
        <v>195</v>
      </c>
      <c r="I18" s="1"/>
      <c r="J18" s="40">
        <v>96816.67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48.2392072216026</v>
      </c>
      <c r="H19" s="27" t="s">
        <v>195</v>
      </c>
      <c r="I19" s="1"/>
      <c r="J19" s="40">
        <v>341549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36600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15268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252000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5000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5500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3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0</v>
      </c>
      <c r="K28" s="44" t="s">
        <v>196</v>
      </c>
      <c r="L28" s="15"/>
      <c r="M28" t="s">
        <v>77</v>
      </c>
    </row>
    <row r="29" ht="21.75" customHeight="1" spans="1:15">
      <c r="A29" s="15"/>
      <c r="B29" s="16"/>
      <c r="C29" s="15"/>
      <c r="D29" s="15" t="s">
        <v>540</v>
      </c>
      <c r="E29" s="15"/>
      <c r="F29" s="15"/>
      <c r="G29" s="31"/>
      <c r="H29" s="15"/>
      <c r="I29" s="15"/>
      <c r="J29" s="45">
        <v>20181</v>
      </c>
      <c r="K29" s="44" t="s">
        <v>196</v>
      </c>
      <c r="L29" s="15"/>
      <c r="O29" t="s">
        <v>77</v>
      </c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7000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707645.67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26.3644285782014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24.4884412396664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1.87598733853501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54210.65</v>
      </c>
      <c r="K37" s="43" t="s">
        <v>196</v>
      </c>
      <c r="L37" s="12"/>
    </row>
    <row r="38" ht="21.75" customHeight="1" spans="1:12">
      <c r="A38" s="1"/>
      <c r="B38" s="19" t="s">
        <v>541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599993896298105"/>
  </sheetPr>
  <dimension ref="A1:T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9.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715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716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2010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368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717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5" t="s">
        <v>718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5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5" t="s">
        <v>719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4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  <c r="N12" s="179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78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3</v>
      </c>
      <c r="E14" s="68">
        <v>2</v>
      </c>
      <c r="F14" s="78"/>
      <c r="G14" s="68"/>
      <c r="H14" s="64"/>
      <c r="I14" s="57" t="s">
        <v>248</v>
      </c>
      <c r="J14" s="64"/>
      <c r="K14" s="161">
        <v>21355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6847</v>
      </c>
      <c r="E15" s="69">
        <v>4477</v>
      </c>
      <c r="F15" s="78"/>
      <c r="G15" s="69"/>
      <c r="H15" s="98">
        <f>SUM(D15:E15)</f>
        <v>11324</v>
      </c>
      <c r="I15" s="57" t="s">
        <v>249</v>
      </c>
      <c r="J15" s="64"/>
      <c r="K15" s="162">
        <f>K14/365</f>
        <v>58.5068493150685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6000</v>
      </c>
      <c r="E16" s="69">
        <v>3950</v>
      </c>
      <c r="F16" s="78"/>
      <c r="G16" s="69"/>
      <c r="H16" s="98">
        <f>SUM(D16:E16)</f>
        <v>9950</v>
      </c>
      <c r="I16" s="56" t="s">
        <v>58</v>
      </c>
      <c r="J16" s="56"/>
      <c r="K16" s="163">
        <v>14.3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8"/>
      <c r="G17" s="70"/>
      <c r="H17" s="98"/>
      <c r="I17" s="56" t="s">
        <v>155</v>
      </c>
      <c r="J17" s="56"/>
      <c r="K17" s="164">
        <v>33.4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5400</v>
      </c>
      <c r="E18" s="71">
        <v>3500</v>
      </c>
      <c r="F18" s="78"/>
      <c r="G18" s="71"/>
      <c r="H18" s="98">
        <f>SUM(D18:E18)</f>
        <v>8900</v>
      </c>
      <c r="I18" s="56" t="s">
        <v>560</v>
      </c>
      <c r="J18" s="56"/>
      <c r="K18" s="164">
        <v>0.9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99"/>
      <c r="G19" s="70"/>
      <c r="H19" s="100"/>
      <c r="I19" s="56" t="s">
        <v>372</v>
      </c>
      <c r="J19" s="56"/>
      <c r="K19" s="164">
        <v>4.1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8"/>
      <c r="G20" s="74"/>
      <c r="H20" s="101"/>
      <c r="I20" s="56" t="s">
        <v>720</v>
      </c>
      <c r="J20" s="56"/>
      <c r="K20" s="164">
        <v>2.1</v>
      </c>
      <c r="L20" s="118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14.9</v>
      </c>
      <c r="E21" s="75">
        <v>12.3</v>
      </c>
      <c r="F21" s="78"/>
      <c r="G21" s="77"/>
      <c r="H21" s="102"/>
      <c r="I21" s="56" t="s">
        <v>157</v>
      </c>
      <c r="J21" s="56"/>
      <c r="K21" s="164">
        <v>45.2</v>
      </c>
      <c r="L21" s="118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73.6</v>
      </c>
      <c r="E22" s="75">
        <v>70.849</v>
      </c>
      <c r="F22" s="78"/>
      <c r="G22" s="77"/>
      <c r="H22" s="78"/>
      <c r="I22" s="57"/>
      <c r="J22" s="56"/>
      <c r="K22" s="164"/>
      <c r="L22" s="118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78"/>
      <c r="G23" s="78"/>
      <c r="H23" s="75" t="s">
        <v>700</v>
      </c>
      <c r="I23" s="125" t="s">
        <v>76</v>
      </c>
      <c r="J23" s="56"/>
      <c r="K23" s="165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78"/>
      <c r="G24" s="78"/>
      <c r="H24" s="699" t="s">
        <v>721</v>
      </c>
      <c r="I24" s="127" t="s">
        <v>80</v>
      </c>
      <c r="J24" s="56"/>
      <c r="K24" s="163">
        <v>31.1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8"/>
      <c r="G25" s="77"/>
      <c r="H25" s="699" t="s">
        <v>608</v>
      </c>
      <c r="I25" s="128" t="s">
        <v>83</v>
      </c>
      <c r="J25" s="56"/>
      <c r="K25" s="163">
        <v>89.9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722</v>
      </c>
      <c r="I26" s="57" t="s">
        <v>86</v>
      </c>
      <c r="J26" s="56"/>
      <c r="K26" s="163">
        <v>63.1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298</v>
      </c>
      <c r="I27" s="129"/>
      <c r="J27" s="130"/>
      <c r="K27" s="130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338</v>
      </c>
      <c r="I28" s="63" t="s">
        <v>93</v>
      </c>
      <c r="J28" s="133"/>
      <c r="K28" s="6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8.0777</v>
      </c>
      <c r="E29" s="75">
        <v>8.337</v>
      </c>
      <c r="F29" s="78"/>
      <c r="G29" s="80"/>
      <c r="H29" s="78"/>
      <c r="I29" s="66" t="s">
        <v>26</v>
      </c>
      <c r="J29" s="64"/>
      <c r="K29" s="64">
        <v>3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52</v>
      </c>
      <c r="E30" s="77">
        <v>55</v>
      </c>
      <c r="F30" s="78"/>
      <c r="G30" s="77"/>
      <c r="H30" s="78"/>
      <c r="I30" s="66" t="s">
        <v>96</v>
      </c>
      <c r="J30" s="92"/>
      <c r="K30" s="92">
        <v>8200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3.8</v>
      </c>
      <c r="E31" s="75"/>
      <c r="F31" s="78"/>
      <c r="G31" s="80"/>
      <c r="H31" s="78"/>
      <c r="I31" s="66" t="s">
        <v>99</v>
      </c>
      <c r="J31" s="92"/>
      <c r="K31" s="92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6.8</v>
      </c>
      <c r="E32" s="75"/>
      <c r="F32" s="78"/>
      <c r="G32" s="80"/>
      <c r="H32" s="78"/>
      <c r="I32" s="66" t="s">
        <v>66</v>
      </c>
      <c r="J32" s="92"/>
      <c r="K32" s="161">
        <v>7300</v>
      </c>
      <c r="L32" s="120" t="s">
        <v>55</v>
      </c>
    </row>
    <row r="33" ht="15" customHeight="1" spans="1:12">
      <c r="A33" s="157"/>
      <c r="B33" s="66" t="s">
        <v>101</v>
      </c>
      <c r="C33" s="64" t="s">
        <v>102</v>
      </c>
      <c r="D33" s="69">
        <v>4161</v>
      </c>
      <c r="E33" s="69">
        <v>1093</v>
      </c>
      <c r="F33" s="78"/>
      <c r="G33" s="80"/>
      <c r="H33" s="78"/>
      <c r="I33" s="57" t="s">
        <v>103</v>
      </c>
      <c r="J33" s="64"/>
      <c r="K33" s="162" t="s">
        <v>723</v>
      </c>
      <c r="L33" s="120" t="s">
        <v>59</v>
      </c>
    </row>
    <row r="34" ht="15" customHeight="1" spans="1:12">
      <c r="A34" s="157"/>
      <c r="B34" s="66" t="s">
        <v>104</v>
      </c>
      <c r="C34" s="64" t="s">
        <v>62</v>
      </c>
      <c r="D34" s="80">
        <v>0.6</v>
      </c>
      <c r="E34" s="80">
        <v>0.27375</v>
      </c>
      <c r="F34" s="78"/>
      <c r="G34" s="80"/>
      <c r="H34" s="78"/>
      <c r="I34" s="66" t="s">
        <v>105</v>
      </c>
      <c r="J34" s="64"/>
      <c r="K34" s="137">
        <v>9.2984</v>
      </c>
      <c r="L34" s="120" t="s">
        <v>59</v>
      </c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67.5659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42"/>
      <c r="N37"/>
    </row>
    <row r="38" ht="15" customHeight="1" spans="1:12">
      <c r="A38" s="157"/>
      <c r="B38" s="84"/>
      <c r="C38" s="75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63</v>
      </c>
      <c r="E39" s="64"/>
      <c r="F39" s="64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51.1982672307422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 t="s">
        <v>316</v>
      </c>
      <c r="H41" s="67" t="s">
        <v>317</v>
      </c>
      <c r="I41" s="66"/>
      <c r="J41" s="64" t="s">
        <v>113</v>
      </c>
      <c r="K41" s="78" t="s">
        <v>116</v>
      </c>
      <c r="L41" s="103">
        <v>45.0948833656502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 t="s">
        <v>724</v>
      </c>
      <c r="H42" s="102" t="s">
        <v>724</v>
      </c>
      <c r="I42" s="66"/>
      <c r="J42" s="64" t="s">
        <v>113</v>
      </c>
      <c r="K42" s="78" t="s">
        <v>120</v>
      </c>
      <c r="L42" s="173">
        <v>0.377673776367589</v>
      </c>
    </row>
    <row r="43" ht="15" customHeight="1" spans="1:12">
      <c r="A43" s="157"/>
      <c r="B43" s="66" t="s">
        <v>121</v>
      </c>
      <c r="C43" s="64" t="s">
        <v>122</v>
      </c>
      <c r="D43" s="77">
        <v>380</v>
      </c>
      <c r="E43" s="77">
        <v>265</v>
      </c>
      <c r="F43" s="77">
        <v>380</v>
      </c>
      <c r="G43" s="77">
        <v>380</v>
      </c>
      <c r="H43" s="77">
        <v>380</v>
      </c>
      <c r="I43" s="66"/>
      <c r="J43" s="64" t="s">
        <v>123</v>
      </c>
      <c r="K43" s="172" t="s">
        <v>124</v>
      </c>
      <c r="L43" s="174">
        <v>22.0143369175628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424.881889763779</v>
      </c>
      <c r="E44" s="77">
        <f>E43/E45*E46</f>
        <v>275.063291139241</v>
      </c>
      <c r="F44" s="77">
        <f>F43/F45*F46</f>
        <v>397.014925373134</v>
      </c>
      <c r="G44" s="77">
        <f>G43/G45*G46</f>
        <v>397.014925373134</v>
      </c>
      <c r="H44" s="77">
        <f>H43/H45*H46</f>
        <v>397.014925373134</v>
      </c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38.1</v>
      </c>
      <c r="E45" s="78">
        <v>39.5</v>
      </c>
      <c r="F45" s="78">
        <v>40.2</v>
      </c>
      <c r="G45" s="78">
        <v>40.2</v>
      </c>
      <c r="H45" s="102">
        <v>40.2</v>
      </c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42.6</v>
      </c>
      <c r="E46" s="75">
        <v>41</v>
      </c>
      <c r="F46" s="75">
        <v>42</v>
      </c>
      <c r="G46" s="75">
        <v>42</v>
      </c>
      <c r="H46" s="75">
        <v>42</v>
      </c>
      <c r="I46" s="66"/>
      <c r="J46" s="64" t="s">
        <v>131</v>
      </c>
      <c r="K46" s="77">
        <f>11787.0949757689/K15</f>
        <v>201.46521499207</v>
      </c>
      <c r="L46" s="174">
        <f>K46*L40/100</f>
        <v>103.146699148629</v>
      </c>
      <c r="M46" s="180"/>
    </row>
    <row r="47" ht="15" customHeight="1" spans="1:12">
      <c r="A47" s="157"/>
      <c r="B47" s="57" t="s">
        <v>132</v>
      </c>
      <c r="C47" s="56" t="s">
        <v>62</v>
      </c>
      <c r="D47" s="78" t="s">
        <v>133</v>
      </c>
      <c r="E47" s="70" t="s">
        <v>725</v>
      </c>
      <c r="F47" s="78" t="s">
        <v>726</v>
      </c>
      <c r="G47" s="78" t="s">
        <v>133</v>
      </c>
      <c r="H47" s="102" t="s">
        <v>726</v>
      </c>
      <c r="I47" s="66"/>
      <c r="J47" s="64" t="s">
        <v>134</v>
      </c>
      <c r="K47" s="77">
        <f>K46/K24*100/K25*100</f>
        <v>720.576328081826</v>
      </c>
      <c r="L47" s="174">
        <f>K47*L40/100</f>
        <v>368.922594052803</v>
      </c>
    </row>
    <row r="48" ht="15" customHeight="1" spans="1:13">
      <c r="A48" s="157"/>
      <c r="B48" s="66" t="s">
        <v>135</v>
      </c>
      <c r="C48" s="64" t="s">
        <v>240</v>
      </c>
      <c r="D48" s="69"/>
      <c r="E48" s="69"/>
      <c r="F48" s="69"/>
      <c r="G48" s="69"/>
      <c r="H48" s="69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8600</v>
      </c>
      <c r="E49" s="69">
        <v>5977</v>
      </c>
      <c r="F49" s="78"/>
      <c r="G49" s="69">
        <v>8416</v>
      </c>
      <c r="H49" s="98"/>
      <c r="I49" s="66"/>
      <c r="J49" s="64" t="s">
        <v>139</v>
      </c>
      <c r="K49" s="69">
        <v>22059</v>
      </c>
      <c r="L49" s="98"/>
    </row>
    <row r="50" ht="15" customHeight="1" spans="1:20">
      <c r="A50" s="157"/>
      <c r="B50" s="57" t="s">
        <v>140</v>
      </c>
      <c r="C50" s="64" t="s">
        <v>59</v>
      </c>
      <c r="D50" s="77">
        <f>D49/8760*100</f>
        <v>98.1735159817352</v>
      </c>
      <c r="E50" s="77">
        <f>E49/8760*100</f>
        <v>68.2305936073059</v>
      </c>
      <c r="F50" s="78"/>
      <c r="G50" s="77">
        <f>G49/8760*100</f>
        <v>96.0730593607306</v>
      </c>
      <c r="H50" s="102"/>
      <c r="I50" s="66"/>
      <c r="J50" s="64" t="s">
        <v>141</v>
      </c>
      <c r="K50" s="69">
        <f>K49/K15</f>
        <v>377.032779208616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7"/>
      <c r="F51" s="78"/>
      <c r="G51" s="78"/>
      <c r="H51" s="102"/>
      <c r="I51" s="65"/>
      <c r="J51" s="64"/>
      <c r="K51" s="78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f>8051386*D55/100</f>
        <v>273747.124</v>
      </c>
      <c r="D55" s="69">
        <v>3.4</v>
      </c>
      <c r="E55" s="111" t="s">
        <v>147</v>
      </c>
      <c r="F55" s="64"/>
      <c r="G55" s="64" t="s">
        <v>148</v>
      </c>
      <c r="H55" s="64"/>
      <c r="I55" s="69">
        <v>1268093</v>
      </c>
      <c r="J55" s="69">
        <v>15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643</v>
      </c>
      <c r="H56" s="64"/>
      <c r="I56" s="69">
        <v>6119195.78947369</v>
      </c>
      <c r="J56" s="69">
        <v>73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2:8">
      <c r="B61" s="156" t="s">
        <v>77</v>
      </c>
      <c r="G61"/>
      <c r="H61"/>
    </row>
  </sheetData>
  <mergeCells count="2">
    <mergeCell ref="B2:L2"/>
    <mergeCell ref="I36:L36"/>
  </mergeCells>
  <pageMargins left="0.7" right="0.7" top="0.787401575" bottom="0.7874015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599993896298105"/>
  </sheetPr>
  <dimension ref="J2:V53"/>
  <sheetViews>
    <sheetView zoomScale="85" zoomScaleNormal="85" workbookViewId="0">
      <selection activeCell="A1" sqref="A1"/>
    </sheetView>
  </sheetViews>
  <sheetFormatPr defaultColWidth="11.5" defaultRowHeight="16.8"/>
  <cols>
    <col min="11" max="14" width="5" customWidth="1"/>
    <col min="15" max="17" width="5.5" customWidth="1"/>
    <col min="18" max="22" width="5" customWidth="1"/>
  </cols>
  <sheetData>
    <row r="2" spans="11:22">
      <c r="K2" t="s">
        <v>177</v>
      </c>
      <c r="L2" t="s">
        <v>166</v>
      </c>
      <c r="M2" t="s">
        <v>167</v>
      </c>
      <c r="N2" t="s">
        <v>168</v>
      </c>
      <c r="O2" t="s">
        <v>169</v>
      </c>
      <c r="P2" t="s">
        <v>170</v>
      </c>
      <c r="Q2" t="s">
        <v>171</v>
      </c>
      <c r="R2" t="s">
        <v>172</v>
      </c>
      <c r="S2" t="s">
        <v>173</v>
      </c>
      <c r="T2" t="s">
        <v>174</v>
      </c>
      <c r="U2" t="s">
        <v>175</v>
      </c>
      <c r="V2" t="s">
        <v>176</v>
      </c>
    </row>
    <row r="3" spans="10:22">
      <c r="J3" t="s">
        <v>58</v>
      </c>
      <c r="K3">
        <v>12.6</v>
      </c>
      <c r="L3">
        <v>13.4</v>
      </c>
      <c r="M3">
        <v>19</v>
      </c>
      <c r="N3">
        <v>27.9</v>
      </c>
      <c r="O3">
        <v>34.8</v>
      </c>
      <c r="P3">
        <v>30.4</v>
      </c>
      <c r="Q3">
        <v>14.9</v>
      </c>
      <c r="R3">
        <v>12</v>
      </c>
      <c r="S3">
        <v>8.5</v>
      </c>
      <c r="T3">
        <v>2.3</v>
      </c>
      <c r="U3">
        <v>0.4</v>
      </c>
      <c r="V3">
        <v>1</v>
      </c>
    </row>
    <row r="4" spans="10:22">
      <c r="J4" t="s">
        <v>157</v>
      </c>
      <c r="K4">
        <v>48</v>
      </c>
      <c r="L4">
        <v>48.8</v>
      </c>
      <c r="M4">
        <v>32.9</v>
      </c>
      <c r="N4">
        <v>26.9</v>
      </c>
      <c r="O4">
        <v>24.3</v>
      </c>
      <c r="P4">
        <v>27.7</v>
      </c>
      <c r="Q4">
        <v>40.3</v>
      </c>
      <c r="R4">
        <v>46</v>
      </c>
      <c r="S4">
        <v>55.6</v>
      </c>
      <c r="T4">
        <v>58</v>
      </c>
      <c r="U4">
        <v>60.5</v>
      </c>
      <c r="V4">
        <v>64.5</v>
      </c>
    </row>
    <row r="5" spans="10:22">
      <c r="J5" t="s">
        <v>727</v>
      </c>
      <c r="K5">
        <v>33.5</v>
      </c>
      <c r="L5">
        <v>33.2</v>
      </c>
      <c r="M5">
        <v>33.5</v>
      </c>
      <c r="N5">
        <v>33.7</v>
      </c>
      <c r="O5">
        <v>33.4</v>
      </c>
      <c r="P5">
        <v>33.5</v>
      </c>
      <c r="Q5">
        <v>33.2</v>
      </c>
      <c r="R5">
        <v>33.5</v>
      </c>
      <c r="S5">
        <v>33.4</v>
      </c>
      <c r="T5">
        <v>33.5</v>
      </c>
      <c r="U5">
        <v>33.3</v>
      </c>
      <c r="V5">
        <v>33.1</v>
      </c>
    </row>
    <row r="6" spans="10:22">
      <c r="J6" t="s">
        <v>372</v>
      </c>
      <c r="K6">
        <v>5.3</v>
      </c>
      <c r="L6">
        <v>3.1</v>
      </c>
      <c r="M6">
        <v>9</v>
      </c>
      <c r="N6">
        <v>7.5</v>
      </c>
      <c r="O6">
        <v>6.3</v>
      </c>
      <c r="P6">
        <v>6.2</v>
      </c>
      <c r="Q6">
        <v>6.9</v>
      </c>
      <c r="R6">
        <v>3.6</v>
      </c>
      <c r="S6">
        <v>0.1</v>
      </c>
      <c r="T6">
        <v>0.6</v>
      </c>
      <c r="U6">
        <v>1.7</v>
      </c>
      <c r="V6">
        <v>1.3</v>
      </c>
    </row>
    <row r="7" spans="10:22">
      <c r="J7" t="s">
        <v>720</v>
      </c>
      <c r="K7">
        <v>0</v>
      </c>
      <c r="L7">
        <v>0</v>
      </c>
      <c r="M7">
        <v>4.8</v>
      </c>
      <c r="N7">
        <v>1.5</v>
      </c>
      <c r="O7">
        <v>1.3</v>
      </c>
      <c r="P7">
        <v>2.1</v>
      </c>
      <c r="Q7">
        <v>3</v>
      </c>
      <c r="R7">
        <v>3.2</v>
      </c>
      <c r="S7">
        <v>1.3</v>
      </c>
      <c r="T7">
        <v>5.4</v>
      </c>
      <c r="U7">
        <v>3.6</v>
      </c>
      <c r="V7">
        <v>0</v>
      </c>
    </row>
    <row r="8" spans="10:22">
      <c r="J8" t="s">
        <v>560</v>
      </c>
      <c r="K8">
        <v>0.6</v>
      </c>
      <c r="L8">
        <v>1.6</v>
      </c>
      <c r="M8">
        <v>0.8</v>
      </c>
      <c r="N8">
        <v>2.5</v>
      </c>
      <c r="O8" s="191">
        <v>0</v>
      </c>
      <c r="P8" s="191">
        <v>0</v>
      </c>
      <c r="Q8" s="191">
        <v>1.8</v>
      </c>
      <c r="R8">
        <v>1.7</v>
      </c>
      <c r="S8">
        <v>1.1</v>
      </c>
      <c r="T8">
        <v>0.2</v>
      </c>
      <c r="U8">
        <v>0.5</v>
      </c>
      <c r="V8">
        <v>0.2</v>
      </c>
    </row>
    <row r="9" spans="10:22">
      <c r="J9" t="s">
        <v>646</v>
      </c>
      <c r="K9" s="191">
        <v>60.087</v>
      </c>
      <c r="L9" s="191">
        <v>57.245</v>
      </c>
      <c r="M9" s="191">
        <v>50.768</v>
      </c>
      <c r="N9" s="191">
        <v>55.809</v>
      </c>
      <c r="O9" s="191">
        <v>66.503</v>
      </c>
      <c r="P9" s="191">
        <v>47.275</v>
      </c>
      <c r="Q9" s="191">
        <v>56.675</v>
      </c>
      <c r="R9" s="191">
        <v>56.738</v>
      </c>
      <c r="S9" s="191">
        <v>62.438</v>
      </c>
      <c r="T9" s="191">
        <v>57.623</v>
      </c>
      <c r="U9" s="191">
        <v>63.977</v>
      </c>
      <c r="V9" s="191">
        <v>65.577</v>
      </c>
    </row>
    <row r="10" spans="10:10">
      <c r="J10" s="219"/>
    </row>
    <row r="11" spans="10:10">
      <c r="J11" s="219"/>
    </row>
    <row r="12" spans="10:10">
      <c r="J12" s="219"/>
    </row>
    <row r="13" spans="10:10">
      <c r="J13" s="219"/>
    </row>
    <row r="14" spans="10:10">
      <c r="J14" s="219"/>
    </row>
    <row r="24" spans="11:12">
      <c r="K24" t="s">
        <v>728</v>
      </c>
      <c r="L24" t="s">
        <v>729</v>
      </c>
    </row>
    <row r="25" spans="10:12">
      <c r="J25" t="s">
        <v>177</v>
      </c>
      <c r="K25">
        <v>1.27</v>
      </c>
      <c r="L25">
        <v>1.29</v>
      </c>
    </row>
    <row r="26" spans="10:12">
      <c r="J26" t="s">
        <v>166</v>
      </c>
      <c r="K26">
        <v>0.87</v>
      </c>
      <c r="L26">
        <v>0.97</v>
      </c>
    </row>
    <row r="27" spans="10:12">
      <c r="J27" t="s">
        <v>167</v>
      </c>
      <c r="K27">
        <v>0.41</v>
      </c>
      <c r="L27">
        <v>0.94</v>
      </c>
    </row>
    <row r="28" spans="10:12">
      <c r="J28" t="s">
        <v>168</v>
      </c>
      <c r="K28">
        <v>0.29</v>
      </c>
      <c r="L28">
        <v>0.27</v>
      </c>
    </row>
    <row r="29" spans="10:12">
      <c r="J29" t="s">
        <v>169</v>
      </c>
      <c r="K29">
        <v>0.29</v>
      </c>
      <c r="L29">
        <v>0.38</v>
      </c>
    </row>
    <row r="30" spans="10:12">
      <c r="J30" t="s">
        <v>170</v>
      </c>
      <c r="K30">
        <v>0.24</v>
      </c>
      <c r="L30">
        <v>0.32</v>
      </c>
    </row>
    <row r="31" spans="10:10">
      <c r="J31" t="s">
        <v>171</v>
      </c>
    </row>
    <row r="32" spans="10:12">
      <c r="J32" t="s">
        <v>172</v>
      </c>
      <c r="K32">
        <v>0.54</v>
      </c>
      <c r="L32">
        <v>0.24</v>
      </c>
    </row>
    <row r="33" spans="10:12">
      <c r="J33" t="s">
        <v>173</v>
      </c>
      <c r="K33">
        <v>0.24</v>
      </c>
      <c r="L33">
        <v>0.26</v>
      </c>
    </row>
    <row r="34" spans="10:10">
      <c r="J34" t="s">
        <v>174</v>
      </c>
    </row>
    <row r="35" spans="10:12">
      <c r="J35" t="s">
        <v>175</v>
      </c>
      <c r="K35">
        <v>0.62</v>
      </c>
      <c r="L35">
        <v>1.16</v>
      </c>
    </row>
    <row r="36" spans="10:12">
      <c r="J36" t="s">
        <v>176</v>
      </c>
      <c r="K36">
        <v>0.63</v>
      </c>
      <c r="L36">
        <v>0.74</v>
      </c>
    </row>
    <row r="40" spans="11:12">
      <c r="K40" t="s">
        <v>183</v>
      </c>
      <c r="L40" t="s">
        <v>184</v>
      </c>
    </row>
    <row r="41" spans="10:12">
      <c r="J41" t="s">
        <v>177</v>
      </c>
      <c r="K41">
        <v>91.15939024</v>
      </c>
      <c r="L41">
        <v>75.49</v>
      </c>
    </row>
    <row r="42" spans="10:12">
      <c r="J42" t="s">
        <v>166</v>
      </c>
      <c r="K42">
        <v>96.46329662</v>
      </c>
      <c r="L42">
        <v>69.04</v>
      </c>
    </row>
    <row r="43" spans="10:12">
      <c r="J43" t="s">
        <v>167</v>
      </c>
      <c r="K43">
        <v>94.07413008</v>
      </c>
      <c r="L43">
        <v>73.15</v>
      </c>
    </row>
    <row r="44" spans="10:12">
      <c r="J44" t="s">
        <v>168</v>
      </c>
      <c r="K44">
        <v>94.91082612</v>
      </c>
      <c r="L44">
        <v>70.17</v>
      </c>
    </row>
    <row r="45" spans="10:12">
      <c r="J45" t="s">
        <v>169</v>
      </c>
      <c r="K45">
        <v>94.17665618</v>
      </c>
      <c r="L45">
        <v>65.82</v>
      </c>
    </row>
    <row r="46" spans="10:12">
      <c r="J46" t="s">
        <v>170</v>
      </c>
      <c r="K46">
        <v>78.52889373</v>
      </c>
      <c r="L46">
        <v>87.39</v>
      </c>
    </row>
    <row r="47" spans="10:12">
      <c r="J47" t="s">
        <v>171</v>
      </c>
      <c r="K47">
        <v>78.90795437</v>
      </c>
      <c r="L47">
        <v>78.56</v>
      </c>
    </row>
    <row r="48" spans="10:12">
      <c r="J48" t="s">
        <v>172</v>
      </c>
      <c r="K48">
        <v>88.72534959</v>
      </c>
      <c r="L48">
        <v>72.19</v>
      </c>
    </row>
    <row r="49" spans="10:12">
      <c r="J49" t="s">
        <v>173</v>
      </c>
      <c r="K49">
        <v>91.87998426</v>
      </c>
      <c r="L49">
        <v>67.47</v>
      </c>
    </row>
    <row r="50" spans="10:12">
      <c r="J50" t="s">
        <v>174</v>
      </c>
      <c r="K50">
        <v>90.20172358</v>
      </c>
      <c r="L50">
        <v>71.01</v>
      </c>
    </row>
    <row r="51" spans="10:12">
      <c r="J51" t="s">
        <v>175</v>
      </c>
      <c r="K51">
        <v>87.60136113</v>
      </c>
      <c r="L51">
        <v>70.76</v>
      </c>
    </row>
    <row r="52" spans="10:12">
      <c r="J52" t="s">
        <v>176</v>
      </c>
      <c r="K52">
        <v>88.49817467</v>
      </c>
      <c r="L52">
        <v>70.04</v>
      </c>
    </row>
    <row r="53" spans="11:11">
      <c r="K53">
        <f>AVERAGE(K41:K52)</f>
        <v>89.5939783808333</v>
      </c>
    </row>
  </sheetData>
  <pageMargins left="0.7" right="0.7" top="0.787401575" bottom="0.787401575" header="0.3" footer="0.3"/>
  <headerFooter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249977111117893"/>
  </sheetPr>
  <dimension ref="A1:T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730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244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731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732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733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/>
      <c r="G14" s="68"/>
      <c r="H14" s="64"/>
      <c r="I14" s="57" t="s">
        <v>248</v>
      </c>
      <c r="J14" s="64"/>
      <c r="K14" s="161">
        <v>11753.436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1530</v>
      </c>
      <c r="E15" s="69">
        <v>1530</v>
      </c>
      <c r="F15" s="69"/>
      <c r="G15" s="69"/>
      <c r="H15" s="98">
        <f>D15+E15+F15</f>
        <v>3060</v>
      </c>
      <c r="I15" s="57" t="s">
        <v>249</v>
      </c>
      <c r="J15" s="64"/>
      <c r="K15" s="163">
        <v>32.201194520548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1400</v>
      </c>
      <c r="E16" s="69">
        <v>1400</v>
      </c>
      <c r="F16" s="69"/>
      <c r="G16" s="69"/>
      <c r="H16" s="98">
        <f>D16+E16+F16</f>
        <v>2800</v>
      </c>
      <c r="I16" s="56" t="s">
        <v>157</v>
      </c>
      <c r="J16" s="56"/>
      <c r="K16" s="163">
        <v>9.29845536232979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/>
      <c r="G17" s="70"/>
      <c r="H17" s="98"/>
      <c r="I17" s="56" t="s">
        <v>734</v>
      </c>
      <c r="J17" s="56"/>
      <c r="K17" s="163">
        <v>42.57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487</v>
      </c>
      <c r="E18" s="71">
        <v>487</v>
      </c>
      <c r="F18" s="71"/>
      <c r="G18" s="71"/>
      <c r="H18" s="98">
        <f>D18+E18+F18</f>
        <v>974</v>
      </c>
      <c r="I18" s="56" t="s">
        <v>58</v>
      </c>
      <c r="J18" s="56"/>
      <c r="K18" s="163">
        <v>41.5163361590602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155</v>
      </c>
      <c r="J19" s="56"/>
      <c r="K19" s="163">
        <v>0.112205486123377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64</v>
      </c>
      <c r="J20" s="56"/>
      <c r="K20" s="163">
        <v>1.81192971995593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7.96</v>
      </c>
      <c r="E21" s="75"/>
      <c r="F21" s="77"/>
      <c r="G21" s="77"/>
      <c r="H21" s="102"/>
      <c r="I21" s="56" t="s">
        <v>67</v>
      </c>
      <c r="J21" s="56"/>
      <c r="K21" s="163">
        <v>1.86624575145515</v>
      </c>
      <c r="L21" s="123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79.31</v>
      </c>
      <c r="E22" s="75"/>
      <c r="F22" s="77"/>
      <c r="G22" s="77"/>
      <c r="H22" s="102"/>
      <c r="I22" s="56" t="s">
        <v>222</v>
      </c>
      <c r="J22" s="56"/>
      <c r="K22" s="163">
        <v>2.82004343240564</v>
      </c>
      <c r="L22" s="123" t="s">
        <v>59</v>
      </c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357</v>
      </c>
      <c r="I23" s="125" t="s">
        <v>76</v>
      </c>
      <c r="J23" s="56"/>
      <c r="K23" s="126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735</v>
      </c>
      <c r="I24" s="127" t="s">
        <v>80</v>
      </c>
      <c r="J24" s="56"/>
      <c r="K24" s="122">
        <v>22.1238187101255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699" t="s">
        <v>681</v>
      </c>
      <c r="I25" s="128" t="s">
        <v>83</v>
      </c>
      <c r="J25" s="56"/>
      <c r="K25" s="122">
        <v>93.9772568265059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253</v>
      </c>
      <c r="I26" s="57" t="s">
        <v>86</v>
      </c>
      <c r="J26" s="56"/>
      <c r="K26" s="122">
        <v>76.2846280107133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237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294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7.73</v>
      </c>
      <c r="E29" s="75">
        <v>7.72</v>
      </c>
      <c r="F29" s="75"/>
      <c r="G29" s="80"/>
      <c r="H29" s="78"/>
      <c r="I29" s="66" t="s">
        <v>26</v>
      </c>
      <c r="J29" s="64"/>
      <c r="K29" s="134"/>
      <c r="L29" s="120"/>
    </row>
    <row r="30" ht="15" customHeight="1" spans="1:12">
      <c r="A30" s="157"/>
      <c r="B30" s="66" t="s">
        <v>94</v>
      </c>
      <c r="C30" s="56" t="s">
        <v>95</v>
      </c>
      <c r="D30" s="77">
        <v>42.66</v>
      </c>
      <c r="E30" s="77">
        <v>42.52</v>
      </c>
      <c r="F30" s="77"/>
      <c r="G30" s="77"/>
      <c r="H30" s="78"/>
      <c r="I30" s="66" t="s">
        <v>96</v>
      </c>
      <c r="J30" s="92"/>
      <c r="K30" s="135">
        <v>3900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1.65</v>
      </c>
      <c r="E31" s="75"/>
      <c r="F31" s="75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4.22</v>
      </c>
      <c r="E32" s="75"/>
      <c r="F32" s="75"/>
      <c r="G32" s="80"/>
      <c r="H32" s="78"/>
      <c r="I32" s="66" t="s">
        <v>66</v>
      </c>
      <c r="J32" s="92"/>
      <c r="K32" s="135">
        <v>2200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92</v>
      </c>
      <c r="E33" s="77"/>
      <c r="F33" s="80"/>
      <c r="G33" s="80"/>
      <c r="H33" s="78"/>
      <c r="I33" s="57" t="s">
        <v>103</v>
      </c>
      <c r="J33" s="64"/>
      <c r="K33" s="136">
        <v>3.2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0.15</v>
      </c>
      <c r="E34" s="80"/>
      <c r="F34" s="80"/>
      <c r="G34" s="80"/>
      <c r="H34" s="78"/>
      <c r="I34" s="66" t="s">
        <v>105</v>
      </c>
      <c r="J34" s="64"/>
      <c r="K34" s="137">
        <v>7.30155632870687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75.6650732642862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68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52.91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145">
        <v>45.49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705">
        <v>0.323</v>
      </c>
    </row>
    <row r="43" ht="15" customHeight="1" spans="1:12">
      <c r="A43" s="157"/>
      <c r="B43" s="66" t="s">
        <v>121</v>
      </c>
      <c r="C43" s="64" t="s">
        <v>122</v>
      </c>
      <c r="D43" s="77">
        <v>400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33</v>
      </c>
    </row>
    <row r="44" ht="15" customHeight="1" spans="1:17">
      <c r="A44" s="157"/>
      <c r="B44" s="66" t="s">
        <v>125</v>
      </c>
      <c r="C44" s="64" t="s">
        <v>122</v>
      </c>
      <c r="D44" s="77">
        <v>457</v>
      </c>
      <c r="E44" s="77"/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39.9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45.6</v>
      </c>
      <c r="E46" s="78"/>
      <c r="F46" s="78"/>
      <c r="G46" s="78"/>
      <c r="H46" s="102"/>
      <c r="I46" s="66"/>
      <c r="J46" s="64" t="s">
        <v>131</v>
      </c>
      <c r="K46" s="79">
        <v>145.756968430338</v>
      </c>
      <c r="L46" s="147">
        <v>77.1571398138755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0"/>
      <c r="G47" s="70"/>
      <c r="H47" s="70"/>
      <c r="I47" s="66"/>
      <c r="J47" s="64" t="s">
        <v>134</v>
      </c>
      <c r="K47" s="79">
        <v>725.924173959943</v>
      </c>
      <c r="L47" s="147">
        <v>384.271390847899</v>
      </c>
    </row>
    <row r="48" ht="15" customHeight="1" spans="1:13">
      <c r="A48" s="157"/>
      <c r="B48" s="66" t="s">
        <v>135</v>
      </c>
      <c r="C48" s="64" t="s">
        <v>240</v>
      </c>
      <c r="D48" s="69">
        <v>8673</v>
      </c>
      <c r="E48" s="69"/>
      <c r="F48" s="78"/>
      <c r="G48" s="78"/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3439275/D43</f>
        <v>8598.1875</v>
      </c>
      <c r="E49" s="69"/>
      <c r="F49" s="77"/>
      <c r="G49" s="69"/>
      <c r="H49" s="98"/>
      <c r="I49" s="66"/>
      <c r="J49" s="64" t="s">
        <v>139</v>
      </c>
      <c r="K49" s="150">
        <f>3250259/365</f>
        <v>8904.81917808219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f>D49/8760*100</f>
        <v>98.1528253424658</v>
      </c>
      <c r="E50" s="77"/>
      <c r="F50" s="77"/>
      <c r="G50" s="77"/>
      <c r="H50" s="77"/>
      <c r="I50" s="66"/>
      <c r="J50" s="64" t="s">
        <v>141</v>
      </c>
      <c r="K50" s="150">
        <f>K49/K15</f>
        <v>276.53692077789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231924</v>
      </c>
      <c r="D55" s="69">
        <f>C55/(D49*D43+E49*E43+F49*F43+G49*G43+H49*H43)*100</f>
        <v>6.74339795451076</v>
      </c>
      <c r="E55" s="111" t="s">
        <v>147</v>
      </c>
      <c r="F55" s="64"/>
      <c r="G55" s="64" t="s">
        <v>148</v>
      </c>
      <c r="H55" s="64"/>
      <c r="I55" s="69" t="s">
        <v>117</v>
      </c>
      <c r="J55" s="69" t="s">
        <v>117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319</v>
      </c>
      <c r="H56" s="64"/>
      <c r="I56" s="69">
        <v>3129780</v>
      </c>
      <c r="J56" s="69">
        <f>I56/(D49*D44+E49*E44+F49*F44+G49*G44+H49*H44)*100</f>
        <v>79.6509022029238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249977111117893"/>
  </sheetPr>
  <dimension ref="A1:AJ66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736</v>
      </c>
      <c r="F2" t="s">
        <v>58</v>
      </c>
      <c r="G2" t="s">
        <v>156</v>
      </c>
      <c r="H2" t="s">
        <v>68</v>
      </c>
      <c r="I2" t="s">
        <v>157</v>
      </c>
      <c r="J2" t="s">
        <v>321</v>
      </c>
      <c r="K2" t="s">
        <v>159</v>
      </c>
      <c r="L2" t="s">
        <v>159</v>
      </c>
      <c r="M2" t="s">
        <v>159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222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42979</v>
      </c>
      <c r="C4" s="219" t="s">
        <v>177</v>
      </c>
      <c r="D4" s="674"/>
      <c r="E4" s="674"/>
      <c r="F4" s="674"/>
      <c r="G4" s="674"/>
      <c r="H4" s="674"/>
      <c r="I4" s="674"/>
      <c r="J4" s="674"/>
      <c r="K4" s="674"/>
      <c r="L4" s="674"/>
      <c r="M4" s="674"/>
      <c r="N4" s="674"/>
      <c r="O4" s="674"/>
      <c r="P4" s="674"/>
      <c r="Q4" s="674"/>
      <c r="R4" s="674"/>
      <c r="S4" s="674"/>
      <c r="T4" s="674"/>
      <c r="U4" s="674"/>
      <c r="Y4" s="219"/>
      <c r="Z4" s="203"/>
      <c r="AA4" s="203"/>
      <c r="AB4" s="203">
        <f>SUM(D4:O4)</f>
        <v>0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43009</v>
      </c>
      <c r="C5" s="219" t="s">
        <v>166</v>
      </c>
      <c r="D5" s="203">
        <v>0.789351941092563</v>
      </c>
      <c r="E5" s="203">
        <v>38.8411272601103</v>
      </c>
      <c r="F5" s="203">
        <v>45.8999961448013</v>
      </c>
      <c r="G5" s="203"/>
      <c r="H5" s="203"/>
      <c r="I5" s="203">
        <v>12.1390570183893</v>
      </c>
      <c r="J5" s="203"/>
      <c r="K5" s="203"/>
      <c r="L5" s="203"/>
      <c r="M5" s="203"/>
      <c r="N5" s="203"/>
      <c r="O5" s="203"/>
      <c r="P5" s="203"/>
      <c r="Q5" s="203"/>
      <c r="R5" s="203">
        <v>0</v>
      </c>
      <c r="S5" s="203">
        <v>0</v>
      </c>
      <c r="T5" s="203"/>
      <c r="U5" s="203">
        <v>2.33046763560662</v>
      </c>
      <c r="Y5" s="219"/>
      <c r="Z5" s="203">
        <v>33.4696774193548</v>
      </c>
      <c r="AA5" s="203"/>
      <c r="AB5" s="203">
        <f t="shared" ref="AB5:AB15" si="0">SUM(D5:O5)</f>
        <v>97.6695323643934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43040</v>
      </c>
      <c r="C6" s="219" t="s">
        <v>167</v>
      </c>
      <c r="D6" s="203">
        <v>0</v>
      </c>
      <c r="E6" s="203">
        <v>38.3186936273065</v>
      </c>
      <c r="F6" s="203">
        <v>51.8501051307748</v>
      </c>
      <c r="G6" s="203"/>
      <c r="H6" s="203"/>
      <c r="I6" s="203">
        <v>7.49474346125882</v>
      </c>
      <c r="J6" s="203"/>
      <c r="K6" s="203"/>
      <c r="L6" s="203"/>
      <c r="M6" s="203"/>
      <c r="N6" s="203"/>
      <c r="O6" s="203"/>
      <c r="P6" s="203"/>
      <c r="Q6" s="203"/>
      <c r="R6" s="203">
        <v>0.125763917546032</v>
      </c>
      <c r="S6" s="203">
        <v>0</v>
      </c>
      <c r="T6" s="203"/>
      <c r="U6" s="203">
        <v>2.21069386311384</v>
      </c>
      <c r="Y6" s="219"/>
      <c r="Z6" s="203">
        <v>33.926</v>
      </c>
      <c r="AA6" s="203"/>
      <c r="AB6" s="203">
        <f t="shared" si="0"/>
        <v>97.6635422193401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43070</v>
      </c>
      <c r="C7" s="219" t="s">
        <v>168</v>
      </c>
      <c r="D7" s="203">
        <v>0</v>
      </c>
      <c r="E7" s="203">
        <v>35.737521648691</v>
      </c>
      <c r="F7" s="203">
        <v>51.9202045285854</v>
      </c>
      <c r="G7" s="203"/>
      <c r="H7" s="203"/>
      <c r="I7" s="203">
        <v>9.13047860788608</v>
      </c>
      <c r="J7" s="203"/>
      <c r="K7" s="203"/>
      <c r="L7" s="203"/>
      <c r="M7" s="203"/>
      <c r="N7" s="203"/>
      <c r="O7" s="203"/>
      <c r="P7" s="203"/>
      <c r="Q7" s="203"/>
      <c r="R7" s="203">
        <v>1.53579708418477</v>
      </c>
      <c r="S7" s="203">
        <v>0</v>
      </c>
      <c r="T7" s="203"/>
      <c r="U7" s="203">
        <v>1.67599813065271</v>
      </c>
      <c r="Y7" s="219"/>
      <c r="Z7" s="203">
        <v>35.2029032258065</v>
      </c>
      <c r="AA7" s="203"/>
      <c r="AB7" s="203">
        <f t="shared" si="0"/>
        <v>96.7882047851625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43101</v>
      </c>
      <c r="C8" s="219" t="s">
        <v>169</v>
      </c>
      <c r="D8" s="203">
        <v>0.045046340224465</v>
      </c>
      <c r="E8" s="203">
        <v>40.6375494790918</v>
      </c>
      <c r="F8" s="203">
        <v>40.281012488379</v>
      </c>
      <c r="G8" s="203"/>
      <c r="H8" s="203"/>
      <c r="I8" s="203">
        <v>9.04377162463939</v>
      </c>
      <c r="J8" s="203"/>
      <c r="K8" s="203"/>
      <c r="L8" s="203"/>
      <c r="M8" s="203"/>
      <c r="N8" s="203"/>
      <c r="O8" s="203"/>
      <c r="P8" s="203"/>
      <c r="Q8" s="203"/>
      <c r="R8" s="203">
        <v>4.2688595608461</v>
      </c>
      <c r="S8" s="203">
        <v>2.27723626326231</v>
      </c>
      <c r="T8" s="203"/>
      <c r="U8" s="203">
        <v>3.44652424355693</v>
      </c>
      <c r="Y8" s="219"/>
      <c r="Z8" s="203">
        <v>33.6570967741936</v>
      </c>
      <c r="AA8" s="203"/>
      <c r="AB8" s="203">
        <f t="shared" si="0"/>
        <v>90.0073799323346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43132</v>
      </c>
      <c r="C9" s="219" t="s">
        <v>170</v>
      </c>
      <c r="D9" s="203">
        <v>0.0751331403442866</v>
      </c>
      <c r="E9" s="203">
        <v>47.8421320133472</v>
      </c>
      <c r="F9" s="203">
        <v>36.5334894924093</v>
      </c>
      <c r="G9" s="203"/>
      <c r="H9" s="203"/>
      <c r="I9" s="203">
        <v>9.03255032815504</v>
      </c>
      <c r="J9" s="203"/>
      <c r="K9" s="203"/>
      <c r="L9" s="203"/>
      <c r="M9" s="203"/>
      <c r="N9" s="203"/>
      <c r="O9" s="203"/>
      <c r="P9" s="203"/>
      <c r="Q9" s="203"/>
      <c r="R9" s="203">
        <v>2.74125472344375</v>
      </c>
      <c r="S9" s="203">
        <v>2.37332331558129</v>
      </c>
      <c r="T9" s="203"/>
      <c r="U9" s="203">
        <v>1.40211698671911</v>
      </c>
      <c r="Y9" s="219"/>
      <c r="Z9" s="203">
        <v>32.3235714285714</v>
      </c>
      <c r="AA9" s="203"/>
      <c r="AB9" s="203">
        <f t="shared" si="0"/>
        <v>93.4833049742558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43160</v>
      </c>
      <c r="C10" s="219" t="s">
        <v>171</v>
      </c>
      <c r="D10" s="203">
        <v>0</v>
      </c>
      <c r="E10" s="203">
        <v>46.1105279164909</v>
      </c>
      <c r="F10" s="203">
        <v>34.8772184559841</v>
      </c>
      <c r="G10" s="203"/>
      <c r="H10" s="203"/>
      <c r="I10" s="203">
        <v>8.00753465647656</v>
      </c>
      <c r="J10" s="203"/>
      <c r="K10" s="203"/>
      <c r="L10" s="203"/>
      <c r="M10" s="203"/>
      <c r="N10" s="203"/>
      <c r="O10" s="203"/>
      <c r="P10" s="203"/>
      <c r="Q10" s="203"/>
      <c r="R10" s="203">
        <v>2.6361486917364</v>
      </c>
      <c r="S10" s="203">
        <v>3.53285129845284</v>
      </c>
      <c r="T10" s="203"/>
      <c r="U10" s="203">
        <v>4.83571898085923</v>
      </c>
      <c r="Y10" s="219"/>
      <c r="Z10" s="203">
        <v>32.8803225806452</v>
      </c>
      <c r="AA10" s="203"/>
      <c r="AB10" s="203">
        <f t="shared" si="0"/>
        <v>88.9952810289515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43191</v>
      </c>
      <c r="C11" s="219" t="s">
        <v>172</v>
      </c>
      <c r="D11" s="203">
        <v>0.141166701266348</v>
      </c>
      <c r="E11" s="203">
        <v>46.3981731368071</v>
      </c>
      <c r="F11" s="203">
        <v>34.0066431388831</v>
      </c>
      <c r="G11" s="203"/>
      <c r="H11" s="203"/>
      <c r="I11" s="203">
        <v>9.53290429728046</v>
      </c>
      <c r="J11" s="203"/>
      <c r="K11" s="203"/>
      <c r="L11" s="203"/>
      <c r="M11" s="203"/>
      <c r="N11" s="203"/>
      <c r="O11" s="203"/>
      <c r="P11" s="203"/>
      <c r="Q11" s="203"/>
      <c r="R11" s="203">
        <v>4.32011625493046</v>
      </c>
      <c r="S11" s="203">
        <v>3.51463566535188</v>
      </c>
      <c r="T11" s="203"/>
      <c r="U11" s="203">
        <v>2.08636080548059</v>
      </c>
      <c r="Y11" s="219"/>
      <c r="Z11" s="203">
        <v>32.1133333333333</v>
      </c>
      <c r="AA11" s="203"/>
      <c r="AB11" s="203">
        <f t="shared" si="0"/>
        <v>90.0788872742371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43221</v>
      </c>
      <c r="C12" s="219" t="s">
        <v>173</v>
      </c>
      <c r="D12" s="203">
        <v>0.0310094097519247</v>
      </c>
      <c r="E12" s="203">
        <v>48.6526946107784</v>
      </c>
      <c r="F12" s="203">
        <v>34.5733532934132</v>
      </c>
      <c r="G12" s="203"/>
      <c r="H12" s="203"/>
      <c r="I12" s="203">
        <v>6.91295979469632</v>
      </c>
      <c r="J12" s="203"/>
      <c r="K12" s="203"/>
      <c r="L12" s="203"/>
      <c r="M12" s="203"/>
      <c r="N12" s="203"/>
      <c r="O12" s="203"/>
      <c r="P12" s="203"/>
      <c r="Q12" s="203"/>
      <c r="R12" s="203">
        <v>2.00705731394354</v>
      </c>
      <c r="S12" s="203">
        <v>2.02202737382378</v>
      </c>
      <c r="T12" s="203"/>
      <c r="U12" s="203">
        <v>5.80089820359281</v>
      </c>
      <c r="Y12" s="219"/>
      <c r="Z12" s="203">
        <v>30.1677419354839</v>
      </c>
      <c r="AA12" s="203"/>
      <c r="AB12" s="203">
        <f t="shared" si="0"/>
        <v>90.1700171086399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43252</v>
      </c>
      <c r="C13" s="219" t="s">
        <v>174</v>
      </c>
      <c r="D13" s="203">
        <v>0</v>
      </c>
      <c r="E13" s="203">
        <v>43.1109210480693</v>
      </c>
      <c r="F13" s="203">
        <v>40.4156216409889</v>
      </c>
      <c r="G13" s="203"/>
      <c r="H13" s="203"/>
      <c r="I13" s="203">
        <v>11.2412015580033</v>
      </c>
      <c r="J13" s="203"/>
      <c r="K13" s="203"/>
      <c r="L13" s="203"/>
      <c r="M13" s="203"/>
      <c r="N13" s="203"/>
      <c r="O13" s="203"/>
      <c r="P13" s="203"/>
      <c r="Q13" s="203"/>
      <c r="R13" s="203">
        <v>0.634528033656569</v>
      </c>
      <c r="S13" s="203">
        <v>2.85479825707054</v>
      </c>
      <c r="T13" s="203"/>
      <c r="U13" s="203">
        <v>1.74292946221149</v>
      </c>
      <c r="Y13" s="219"/>
      <c r="Z13" s="203">
        <v>28.8403333333333</v>
      </c>
      <c r="AA13" s="203"/>
      <c r="AB13" s="203">
        <f t="shared" si="0"/>
        <v>94.7677442470614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43282</v>
      </c>
      <c r="C14" s="219" t="s">
        <v>175</v>
      </c>
      <c r="D14" s="203">
        <v>0</v>
      </c>
      <c r="E14" s="203">
        <v>42.0135971277977</v>
      </c>
      <c r="F14" s="203">
        <v>42.4184554273929</v>
      </c>
      <c r="G14" s="203"/>
      <c r="H14" s="203"/>
      <c r="I14" s="203">
        <v>10.6278031799382</v>
      </c>
      <c r="J14" s="203"/>
      <c r="K14" s="203"/>
      <c r="L14" s="203"/>
      <c r="M14" s="203"/>
      <c r="N14" s="203"/>
      <c r="O14" s="203"/>
      <c r="P14" s="203"/>
      <c r="Q14" s="203"/>
      <c r="R14" s="203">
        <v>0.289184499710816</v>
      </c>
      <c r="S14" s="203">
        <v>2.0461167432369</v>
      </c>
      <c r="T14" s="203"/>
      <c r="U14" s="203">
        <v>2.60484302192346</v>
      </c>
      <c r="Y14" s="219"/>
      <c r="Z14" s="203">
        <v>29.5603225806452</v>
      </c>
      <c r="AA14" s="203"/>
      <c r="AB14" s="203">
        <f t="shared" si="0"/>
        <v>95.0598557351288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43313</v>
      </c>
      <c r="C15" s="219" t="s">
        <v>176</v>
      </c>
      <c r="D15" s="259"/>
      <c r="E15" s="259"/>
      <c r="F15" s="259"/>
      <c r="G15" s="259"/>
      <c r="H15" s="259"/>
      <c r="I15" s="259"/>
      <c r="J15" s="259"/>
      <c r="K15" s="259"/>
      <c r="L15" s="259"/>
      <c r="M15" s="259"/>
      <c r="N15" s="259"/>
      <c r="O15" s="259"/>
      <c r="P15" s="259"/>
      <c r="Q15" s="259"/>
      <c r="R15" s="259"/>
      <c r="S15" s="259"/>
      <c r="T15" s="259"/>
      <c r="U15" s="259"/>
      <c r="Z15" s="203"/>
      <c r="AA15" s="203"/>
      <c r="AB15" s="203">
        <f t="shared" si="0"/>
        <v>0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22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42979</v>
      </c>
      <c r="E28" s="686">
        <v>0.17</v>
      </c>
      <c r="F28" s="685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43009</v>
      </c>
      <c r="E29" s="686">
        <v>0.105</v>
      </c>
      <c r="F29" s="685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43040</v>
      </c>
      <c r="E30" s="686">
        <v>0.115</v>
      </c>
      <c r="F30" s="685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43070</v>
      </c>
      <c r="E31" s="686">
        <v>0.165</v>
      </c>
      <c r="F31" s="685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43101</v>
      </c>
      <c r="E32" s="686">
        <v>0.155</v>
      </c>
      <c r="F32" s="685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43132</v>
      </c>
      <c r="E33" s="686">
        <v>0.13</v>
      </c>
      <c r="F33" s="685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43160</v>
      </c>
      <c r="E34" s="686">
        <v>0.185</v>
      </c>
      <c r="F34" s="685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43191</v>
      </c>
      <c r="E35" s="686">
        <v>0.14</v>
      </c>
      <c r="F35" s="685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43221</v>
      </c>
      <c r="E36" s="686">
        <v>0.16</v>
      </c>
      <c r="F36" s="685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43252</v>
      </c>
      <c r="E37" s="686">
        <v>0.185</v>
      </c>
      <c r="F37" s="685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43282</v>
      </c>
      <c r="E38" s="686">
        <v>0.175</v>
      </c>
      <c r="F38" s="685"/>
      <c r="G38" s="199"/>
      <c r="H38" s="191"/>
      <c r="I38" s="191"/>
      <c r="J38" s="191"/>
      <c r="AC38" s="694"/>
    </row>
    <row r="39" spans="1:29">
      <c r="A39" s="673"/>
      <c r="D39" s="682">
        <f t="shared" si="1"/>
        <v>43313</v>
      </c>
      <c r="E39" s="686"/>
      <c r="F39" s="685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Sep</v>
      </c>
      <c r="D49" s="223"/>
      <c r="E49" s="223">
        <v>269145</v>
      </c>
      <c r="F49" s="225">
        <v>380</v>
      </c>
      <c r="G49" s="225"/>
      <c r="H49" s="225">
        <f>E49/J49/F49*100</f>
        <v>98.3717105263158</v>
      </c>
      <c r="I49" s="225" t="e">
        <f>D49/J49/G49*100</f>
        <v>#DIV/0!</v>
      </c>
      <c r="J49">
        <v>720</v>
      </c>
    </row>
    <row r="50" spans="1:10">
      <c r="A50" s="673"/>
      <c r="B50" s="219"/>
      <c r="C50" s="219" t="str">
        <f t="shared" ref="C50:C60" si="2">C5</f>
        <v>Oct</v>
      </c>
      <c r="D50" s="251"/>
      <c r="E50" s="251">
        <v>279509</v>
      </c>
      <c r="F50" s="225">
        <v>380</v>
      </c>
      <c r="G50" s="225"/>
      <c r="H50" s="225">
        <f t="shared" ref="H50:H60" si="3">E50/J50/F50*100</f>
        <v>98.864247311828</v>
      </c>
      <c r="I50" s="225" t="e">
        <f t="shared" ref="I50:I60" si="4">D50/J50/G50*100</f>
        <v>#DIV/0!</v>
      </c>
      <c r="J50">
        <v>744</v>
      </c>
    </row>
    <row r="51" spans="1:10">
      <c r="A51" s="673"/>
      <c r="B51" s="219"/>
      <c r="C51" s="219" t="str">
        <f t="shared" si="2"/>
        <v>Nov</v>
      </c>
      <c r="D51" s="251"/>
      <c r="E51" s="251">
        <v>269186</v>
      </c>
      <c r="F51" s="225">
        <v>380</v>
      </c>
      <c r="G51" s="225"/>
      <c r="H51" s="225">
        <f t="shared" si="3"/>
        <v>98.3866959064327</v>
      </c>
      <c r="I51" s="225" t="e">
        <f t="shared" si="4"/>
        <v>#DIV/0!</v>
      </c>
      <c r="J51">
        <v>720</v>
      </c>
    </row>
    <row r="52" spans="1:10">
      <c r="A52" s="673"/>
      <c r="B52" s="219"/>
      <c r="C52" s="219" t="str">
        <f t="shared" si="2"/>
        <v>dec</v>
      </c>
      <c r="D52" s="251"/>
      <c r="E52" s="251">
        <v>275181</v>
      </c>
      <c r="F52" s="225">
        <v>380</v>
      </c>
      <c r="G52" s="225"/>
      <c r="H52" s="225">
        <f t="shared" si="3"/>
        <v>97.3334040747029</v>
      </c>
      <c r="I52" s="225" t="e">
        <f t="shared" si="4"/>
        <v>#DIV/0!</v>
      </c>
      <c r="J52">
        <v>744</v>
      </c>
    </row>
    <row r="53" spans="1:10">
      <c r="A53" s="673"/>
      <c r="B53" s="219"/>
      <c r="C53" s="219" t="str">
        <f t="shared" si="2"/>
        <v>Jan</v>
      </c>
      <c r="D53" s="251"/>
      <c r="E53" s="251">
        <v>278052</v>
      </c>
      <c r="F53" s="225">
        <v>380</v>
      </c>
      <c r="G53" s="225"/>
      <c r="H53" s="225">
        <f t="shared" si="3"/>
        <v>98.348896434635</v>
      </c>
      <c r="I53" s="225" t="e">
        <f t="shared" si="4"/>
        <v>#DIV/0!</v>
      </c>
      <c r="J53">
        <v>744</v>
      </c>
    </row>
    <row r="54" spans="1:10">
      <c r="A54" s="673"/>
      <c r="B54" s="219"/>
      <c r="C54" s="219" t="str">
        <f t="shared" si="2"/>
        <v>Feb</v>
      </c>
      <c r="D54" s="251"/>
      <c r="E54" s="251">
        <v>254386</v>
      </c>
      <c r="F54" s="225">
        <v>380</v>
      </c>
      <c r="G54" s="225"/>
      <c r="H54" s="225">
        <f t="shared" si="3"/>
        <v>99.6185776942356</v>
      </c>
      <c r="I54" s="225" t="e">
        <f t="shared" si="4"/>
        <v>#DIV/0!</v>
      </c>
      <c r="J54">
        <v>672</v>
      </c>
    </row>
    <row r="55" spans="1:10">
      <c r="A55" s="673"/>
      <c r="B55" s="219"/>
      <c r="C55" s="219" t="str">
        <f t="shared" si="2"/>
        <v>mar</v>
      </c>
      <c r="D55" s="251"/>
      <c r="E55" s="251">
        <v>275162</v>
      </c>
      <c r="F55" s="225">
        <v>380</v>
      </c>
      <c r="G55" s="225"/>
      <c r="H55" s="225">
        <f t="shared" si="3"/>
        <v>97.3266836445954</v>
      </c>
      <c r="I55" s="225" t="e">
        <f t="shared" si="4"/>
        <v>#DIV/0!</v>
      </c>
      <c r="J55">
        <v>744</v>
      </c>
    </row>
    <row r="56" spans="1:10">
      <c r="A56" s="673"/>
      <c r="B56" s="219"/>
      <c r="C56" s="219" t="str">
        <f t="shared" si="2"/>
        <v>apr</v>
      </c>
      <c r="D56" s="251"/>
      <c r="E56" s="251">
        <v>269366</v>
      </c>
      <c r="F56" s="225">
        <v>380</v>
      </c>
      <c r="G56" s="225"/>
      <c r="H56" s="225">
        <f t="shared" si="3"/>
        <v>98.452485380117</v>
      </c>
      <c r="I56" s="225" t="e">
        <f t="shared" si="4"/>
        <v>#DIV/0!</v>
      </c>
      <c r="J56">
        <v>720</v>
      </c>
    </row>
    <row r="57" spans="1:10">
      <c r="A57" s="673"/>
      <c r="B57" s="219"/>
      <c r="C57" s="219" t="str">
        <f t="shared" si="2"/>
        <v>May</v>
      </c>
      <c r="D57" s="251"/>
      <c r="E57" s="251">
        <v>277138</v>
      </c>
      <c r="F57" s="225">
        <v>380</v>
      </c>
      <c r="G57" s="225"/>
      <c r="H57" s="225">
        <f t="shared" si="3"/>
        <v>98.0256083757781</v>
      </c>
      <c r="I57" s="225" t="e">
        <f t="shared" si="4"/>
        <v>#DIV/0!</v>
      </c>
      <c r="J57">
        <v>744</v>
      </c>
    </row>
    <row r="58" spans="1:10">
      <c r="A58" s="673"/>
      <c r="B58" s="219"/>
      <c r="C58" s="219" t="str">
        <f t="shared" si="2"/>
        <v>June</v>
      </c>
      <c r="D58" s="251"/>
      <c r="E58" s="251">
        <v>266688</v>
      </c>
      <c r="F58" s="225">
        <v>380</v>
      </c>
      <c r="G58" s="225"/>
      <c r="H58" s="225">
        <f t="shared" si="3"/>
        <v>97.4736842105263</v>
      </c>
      <c r="I58" s="225" t="e">
        <f t="shared" si="4"/>
        <v>#DIV/0!</v>
      </c>
      <c r="J58">
        <v>720</v>
      </c>
    </row>
    <row r="59" spans="1:10">
      <c r="A59" s="673"/>
      <c r="B59" s="219"/>
      <c r="C59" s="219" t="str">
        <f t="shared" si="2"/>
        <v>July</v>
      </c>
      <c r="D59" s="251"/>
      <c r="E59" s="251">
        <v>273661</v>
      </c>
      <c r="F59" s="225">
        <v>380</v>
      </c>
      <c r="G59" s="225"/>
      <c r="H59" s="225">
        <f t="shared" si="3"/>
        <v>96.7957696661007</v>
      </c>
      <c r="I59" s="225" t="e">
        <f t="shared" si="4"/>
        <v>#DIV/0!</v>
      </c>
      <c r="J59">
        <v>744</v>
      </c>
    </row>
    <row r="60" spans="1:10">
      <c r="A60" s="673"/>
      <c r="B60" s="228"/>
      <c r="C60" s="224" t="str">
        <f t="shared" si="2"/>
        <v>Aug</v>
      </c>
      <c r="D60" s="252"/>
      <c r="E60" s="252">
        <v>262785</v>
      </c>
      <c r="F60" s="225">
        <v>380</v>
      </c>
      <c r="G60" s="225"/>
      <c r="H60" s="225">
        <f t="shared" si="3"/>
        <v>92.9488539898132</v>
      </c>
      <c r="I60" s="225" t="e">
        <f t="shared" si="4"/>
        <v>#DIV/0!</v>
      </c>
      <c r="J60">
        <v>744</v>
      </c>
    </row>
    <row r="61" spans="1:12">
      <c r="A61" s="673"/>
      <c r="D61" s="251"/>
      <c r="E61" s="684">
        <f>SUM(E49:E60)/8760</f>
        <v>371.034132420091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249977111117893"/>
  </sheetPr>
  <dimension ref="A1:O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730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400</v>
      </c>
      <c r="G3" s="22"/>
      <c r="H3" s="23" t="s">
        <v>187</v>
      </c>
      <c r="I3" s="5" t="s">
        <v>188</v>
      </c>
      <c r="J3" s="35">
        <v>3249638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380</v>
      </c>
      <c r="G4" s="217"/>
      <c r="H4" s="25" t="s">
        <v>187</v>
      </c>
      <c r="I4" s="7" t="s">
        <v>191</v>
      </c>
      <c r="J4" s="37">
        <v>1658036.36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82.1448050453641</v>
      </c>
      <c r="H6" s="27" t="s">
        <v>195</v>
      </c>
      <c r="I6" s="1"/>
      <c r="J6" s="40">
        <v>664613.41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10.2297239540344</v>
      </c>
      <c r="H7" s="27" t="s">
        <v>195</v>
      </c>
      <c r="I7" s="1"/>
      <c r="J7" s="40">
        <v>82766.18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7.62547100060143</v>
      </c>
      <c r="H8" s="27" t="s">
        <v>195</v>
      </c>
      <c r="I8" s="1"/>
      <c r="J8" s="40">
        <v>61695.81</v>
      </c>
      <c r="K8" s="41" t="s">
        <v>196</v>
      </c>
      <c r="L8" s="1"/>
    </row>
    <row r="9" ht="21.75" customHeight="1" spans="1:15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809075.4</v>
      </c>
      <c r="K9" s="43" t="s">
        <v>196</v>
      </c>
      <c r="L9" s="12"/>
      <c r="O9" t="s">
        <v>77</v>
      </c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323</v>
      </c>
      <c r="D11" s="1"/>
      <c r="E11" s="1"/>
      <c r="F11" s="1"/>
      <c r="G11" s="26">
        <v>45.3488701657142</v>
      </c>
      <c r="H11" s="27" t="s">
        <v>195</v>
      </c>
      <c r="I11" s="1"/>
      <c r="J11" s="40">
        <v>340326.36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3.33127811240614</v>
      </c>
      <c r="H16" s="27" t="s">
        <v>195</v>
      </c>
      <c r="I16" s="1"/>
      <c r="J16" s="40">
        <v>25000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7.84307057708437</v>
      </c>
      <c r="H17" s="27" t="s">
        <v>195</v>
      </c>
      <c r="I17" s="1"/>
      <c r="J17" s="40">
        <v>58859.32</v>
      </c>
      <c r="K17" s="41" t="s">
        <v>196</v>
      </c>
      <c r="L17" s="1"/>
    </row>
    <row r="18" ht="21.75" customHeight="1" spans="1:12">
      <c r="A18" s="1"/>
      <c r="B18" s="11"/>
      <c r="C18" s="1" t="s">
        <v>568</v>
      </c>
      <c r="D18" s="1"/>
      <c r="E18" s="1"/>
      <c r="F18" s="1"/>
      <c r="G18" s="26">
        <v>14.6478963624988</v>
      </c>
      <c r="H18" s="27" t="s">
        <v>195</v>
      </c>
      <c r="I18" s="1"/>
      <c r="J18" s="40">
        <v>109927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28.8288847822965</v>
      </c>
      <c r="H19" s="27" t="s">
        <v>195</v>
      </c>
      <c r="I19" s="1"/>
      <c r="J19" s="40">
        <v>216350.03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52020.18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84238.84</v>
      </c>
      <c r="K23" s="44" t="s">
        <v>196</v>
      </c>
      <c r="L23" s="15"/>
    </row>
    <row r="24" ht="21.75" customHeight="1" spans="1:14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  <c r="N24" t="s">
        <v>77</v>
      </c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13323.67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15167.89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35926.98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15672.47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750462.71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24.8974008797288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23.0937325942151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1.80366828551366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58612.6900000002</v>
      </c>
      <c r="K37" s="43" t="s">
        <v>196</v>
      </c>
      <c r="L37" s="12"/>
    </row>
    <row r="38" ht="21.75" customHeight="1" spans="1:12">
      <c r="A38" s="1"/>
      <c r="B38" s="709" t="s">
        <v>325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737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21.75" customHeight="1" spans="1:1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/>
    <row r="42" ht="21.75" customHeight="1"/>
    <row r="43" ht="21.75" customHeight="1" spans="9:9">
      <c r="I43" t="s">
        <v>77</v>
      </c>
    </row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A1:T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738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739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740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741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742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/>
      <c r="G14" s="68"/>
      <c r="H14" s="64"/>
      <c r="I14" s="57" t="s">
        <v>248</v>
      </c>
      <c r="J14" s="64"/>
      <c r="K14" s="161">
        <v>6147.9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130</v>
      </c>
      <c r="E15" s="69">
        <v>1730</v>
      </c>
      <c r="F15" s="69"/>
      <c r="G15" s="69"/>
      <c r="H15" s="98">
        <f>D15+E15+F15</f>
        <v>1860</v>
      </c>
      <c r="I15" s="57" t="s">
        <v>249</v>
      </c>
      <c r="J15" s="64"/>
      <c r="K15" s="701">
        <v>16.8435616438356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120</v>
      </c>
      <c r="E16" s="69">
        <v>1650</v>
      </c>
      <c r="F16" s="69"/>
      <c r="G16" s="69"/>
      <c r="H16" s="98">
        <f>D16+E16+F16</f>
        <v>1770</v>
      </c>
      <c r="I16" s="56" t="s">
        <v>743</v>
      </c>
      <c r="J16" s="56"/>
      <c r="K16" s="701">
        <v>6.72587387563233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679</v>
      </c>
      <c r="E17" s="70" t="s">
        <v>63</v>
      </c>
      <c r="F17" s="70"/>
      <c r="G17" s="70"/>
      <c r="H17" s="98"/>
      <c r="I17" s="56" t="s">
        <v>155</v>
      </c>
      <c r="J17" s="56"/>
      <c r="K17" s="701">
        <v>80.1574521381285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300</v>
      </c>
      <c r="F18" s="71"/>
      <c r="G18" s="71"/>
      <c r="H18" s="98">
        <f>D18+E18+F18</f>
        <v>300</v>
      </c>
      <c r="I18" s="56" t="s">
        <v>155</v>
      </c>
      <c r="J18" s="56"/>
      <c r="K18" s="701">
        <v>12.1748889864832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655</v>
      </c>
      <c r="J19" s="56"/>
      <c r="K19" s="701">
        <v>0.941784999756014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/>
      <c r="J20" s="56"/>
      <c r="K20" s="702"/>
      <c r="L20" s="123"/>
      <c r="M20" s="178"/>
    </row>
    <row r="21" ht="15" customHeight="1" spans="1:13">
      <c r="A21" s="157"/>
      <c r="B21" s="66" t="s">
        <v>71</v>
      </c>
      <c r="C21" s="64" t="s">
        <v>59</v>
      </c>
      <c r="D21" s="75">
        <v>9.12</v>
      </c>
      <c r="E21" s="75"/>
      <c r="F21" s="77"/>
      <c r="G21" s="77"/>
      <c r="H21" s="102"/>
      <c r="I21" s="56"/>
      <c r="J21" s="56"/>
      <c r="K21" s="702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77.4</v>
      </c>
      <c r="E22" s="75"/>
      <c r="F22" s="77"/>
      <c r="G22" s="77"/>
      <c r="H22" s="102"/>
      <c r="I22" s="56"/>
      <c r="J22" s="56"/>
      <c r="K22" s="702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744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745</v>
      </c>
      <c r="I24" s="127" t="s">
        <v>80</v>
      </c>
      <c r="J24" s="56"/>
      <c r="K24" s="122">
        <v>15.0070677493999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699" t="s">
        <v>746</v>
      </c>
      <c r="I25" s="128" t="s">
        <v>83</v>
      </c>
      <c r="J25" s="56"/>
      <c r="K25" s="122">
        <v>81.7128845472455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747</v>
      </c>
      <c r="I26" s="57" t="s">
        <v>86</v>
      </c>
      <c r="J26" s="56"/>
      <c r="K26" s="122">
        <v>47.4991397591229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748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749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7.3</v>
      </c>
      <c r="E29" s="75">
        <v>7.59</v>
      </c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 t="s">
        <v>750</v>
      </c>
      <c r="E30" s="77" t="s">
        <v>751</v>
      </c>
      <c r="F30" s="77"/>
      <c r="G30" s="77"/>
      <c r="H30" s="78"/>
      <c r="I30" s="66" t="s">
        <v>96</v>
      </c>
      <c r="J30" s="92"/>
      <c r="K30" s="135">
        <v>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1.85</v>
      </c>
      <c r="E31" s="75"/>
      <c r="F31" s="75"/>
      <c r="G31" s="80"/>
      <c r="H31" s="78"/>
      <c r="I31" s="66" t="s">
        <v>99</v>
      </c>
      <c r="J31" s="92"/>
      <c r="K31" s="135">
        <v>2800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3.57</v>
      </c>
      <c r="E32" s="75"/>
      <c r="F32" s="75"/>
      <c r="G32" s="80"/>
      <c r="H32" s="78"/>
      <c r="I32" s="66" t="s">
        <v>66</v>
      </c>
      <c r="J32" s="92"/>
      <c r="K32" s="135">
        <v>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69">
        <v>7399</v>
      </c>
      <c r="E33" s="77"/>
      <c r="F33" s="80"/>
      <c r="G33" s="80"/>
      <c r="H33" s="78"/>
      <c r="I33" s="57" t="s">
        <v>103</v>
      </c>
      <c r="J33" s="64"/>
      <c r="K33" s="136">
        <v>15.4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1.68</v>
      </c>
      <c r="E34" s="80"/>
      <c r="F34" s="80"/>
      <c r="G34" s="80"/>
      <c r="H34" s="78"/>
      <c r="I34" s="66" t="s">
        <v>105</v>
      </c>
      <c r="J34" s="64"/>
      <c r="K34" s="137">
        <v>5.66822280839502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73.5300299402647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/>
      <c r="C39" s="64"/>
      <c r="D39" s="78"/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51.376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707" t="s">
        <v>117</v>
      </c>
    </row>
    <row r="42" ht="15" customHeight="1" spans="1:12">
      <c r="A42" s="157"/>
      <c r="B42" s="66" t="s">
        <v>118</v>
      </c>
      <c r="C42" s="64"/>
      <c r="D42" s="78" t="s">
        <v>301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708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75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707" t="s">
        <v>117</v>
      </c>
    </row>
    <row r="44" ht="15" customHeight="1" spans="1:17">
      <c r="A44" s="157"/>
      <c r="B44" s="66" t="s">
        <v>125</v>
      </c>
      <c r="C44" s="64" t="s">
        <v>122</v>
      </c>
      <c r="D44" s="77">
        <v>75</v>
      </c>
      <c r="E44" s="77"/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41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41</v>
      </c>
      <c r="E46" s="78"/>
      <c r="F46" s="78"/>
      <c r="G46" s="78"/>
      <c r="H46" s="102"/>
      <c r="I46" s="66"/>
      <c r="J46" s="64" t="s">
        <v>131</v>
      </c>
      <c r="K46" s="79">
        <v>36.4823760959027</v>
      </c>
      <c r="L46" s="147">
        <v>18.7474348964687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0"/>
      <c r="G47" s="70"/>
      <c r="H47" s="70"/>
      <c r="I47" s="66"/>
      <c r="J47" s="64" t="s">
        <v>134</v>
      </c>
      <c r="K47" s="79">
        <v>298.432135151781</v>
      </c>
      <c r="L47" s="147">
        <v>153.357254200351</v>
      </c>
    </row>
    <row r="48" ht="15" customHeight="1" spans="1:13">
      <c r="A48" s="157"/>
      <c r="B48" s="66" t="s">
        <v>135</v>
      </c>
      <c r="C48" s="64" t="s">
        <v>240</v>
      </c>
      <c r="D48" s="69">
        <v>7903</v>
      </c>
      <c r="E48" s="69"/>
      <c r="F48" s="78"/>
      <c r="G48" s="78"/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563070/D43</f>
        <v>7507.6</v>
      </c>
      <c r="E49" s="69"/>
      <c r="F49" s="77"/>
      <c r="G49" s="69"/>
      <c r="H49" s="98"/>
      <c r="I49" s="66"/>
      <c r="J49" s="64" t="s">
        <v>139</v>
      </c>
      <c r="K49" s="150">
        <f>550845/365</f>
        <v>1509.16438356164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f>D49/8760*100</f>
        <v>85.703196347032</v>
      </c>
      <c r="E50" s="77"/>
      <c r="F50" s="77"/>
      <c r="G50" s="77"/>
      <c r="H50" s="77"/>
      <c r="I50" s="66"/>
      <c r="J50" s="64" t="s">
        <v>141</v>
      </c>
      <c r="K50" s="150">
        <f>K49/K15</f>
        <v>89.5988874249744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/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46558</v>
      </c>
      <c r="D55" s="69">
        <f>C55/(D49*D43+E49*E43+F49*F43+G49*G43+H49*H43)*100</f>
        <v>8.26859893086117</v>
      </c>
      <c r="E55" s="111" t="s">
        <v>147</v>
      </c>
      <c r="F55" s="64"/>
      <c r="G55" s="64" t="s">
        <v>752</v>
      </c>
      <c r="H55" s="64"/>
      <c r="I55" s="69"/>
      <c r="J55" s="69"/>
      <c r="K55" s="111"/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753</v>
      </c>
      <c r="H56" s="64"/>
      <c r="I56" s="69"/>
      <c r="J56" s="69"/>
      <c r="K56" s="111"/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B60" s="156" t="s">
        <v>77</v>
      </c>
      <c r="G60"/>
      <c r="H60"/>
    </row>
    <row r="61" ht="16.8" spans="4:8">
      <c r="D61" s="156" t="s">
        <v>77</v>
      </c>
      <c r="G61"/>
      <c r="H61"/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A1:AJ66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655</v>
      </c>
      <c r="G2" t="s">
        <v>156</v>
      </c>
      <c r="H2" t="s">
        <v>68</v>
      </c>
      <c r="I2" t="s">
        <v>157</v>
      </c>
      <c r="J2" t="s">
        <v>743</v>
      </c>
      <c r="K2" t="s">
        <v>159</v>
      </c>
      <c r="L2" t="s">
        <v>159</v>
      </c>
      <c r="M2" t="s">
        <v>159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322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42948</v>
      </c>
      <c r="C4" s="219" t="s">
        <v>176</v>
      </c>
      <c r="D4" s="674">
        <v>15.1515151515152</v>
      </c>
      <c r="E4" s="674">
        <v>78.7878787878788</v>
      </c>
      <c r="F4" s="674">
        <v>0</v>
      </c>
      <c r="G4" s="674"/>
      <c r="H4" s="674"/>
      <c r="I4" s="674"/>
      <c r="J4" s="674">
        <v>6.06060606060606</v>
      </c>
      <c r="K4" s="674"/>
      <c r="L4" s="674"/>
      <c r="M4" s="674"/>
      <c r="N4" s="674"/>
      <c r="O4" s="674"/>
      <c r="P4" s="674"/>
      <c r="Q4" s="674"/>
      <c r="R4" s="674"/>
      <c r="S4" s="674"/>
      <c r="T4" s="674"/>
      <c r="U4" s="674"/>
      <c r="Y4" s="219"/>
      <c r="Z4" s="203">
        <v>16.5</v>
      </c>
      <c r="AA4" s="203"/>
      <c r="AB4" s="203">
        <f>SUM(D4:O4)</f>
        <v>100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42979</v>
      </c>
      <c r="C5" s="219" t="s">
        <v>177</v>
      </c>
      <c r="D5" s="203">
        <v>15.1515151515152</v>
      </c>
      <c r="E5" s="203">
        <v>78.7878787878788</v>
      </c>
      <c r="F5" s="203">
        <v>0</v>
      </c>
      <c r="G5" s="203"/>
      <c r="H5" s="203"/>
      <c r="I5" s="203"/>
      <c r="J5" s="203">
        <v>6.06060606060606</v>
      </c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Y5" s="219"/>
      <c r="Z5" s="203">
        <v>16.5</v>
      </c>
      <c r="AA5" s="203"/>
      <c r="AB5" s="203">
        <f t="shared" ref="AB5:AB15" si="0">SUM(D5:O5)</f>
        <v>100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43009</v>
      </c>
      <c r="C6" s="219" t="s">
        <v>166</v>
      </c>
      <c r="D6" s="203">
        <v>14.7286821705426</v>
      </c>
      <c r="E6" s="203">
        <v>79.2635658914729</v>
      </c>
      <c r="F6" s="203">
        <v>0</v>
      </c>
      <c r="G6" s="203"/>
      <c r="H6" s="203"/>
      <c r="I6" s="203"/>
      <c r="J6" s="203">
        <v>6.0077519379845</v>
      </c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Y6" s="219"/>
      <c r="Z6" s="203">
        <v>16.6451612903226</v>
      </c>
      <c r="AA6" s="203"/>
      <c r="AB6" s="203">
        <f t="shared" si="0"/>
        <v>100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43040</v>
      </c>
      <c r="C7" s="219" t="s">
        <v>167</v>
      </c>
      <c r="D7" s="203">
        <v>11.1111111111111</v>
      </c>
      <c r="E7" s="203">
        <v>83.3333333333333</v>
      </c>
      <c r="F7" s="203">
        <v>0</v>
      </c>
      <c r="G7" s="203"/>
      <c r="H7" s="203"/>
      <c r="I7" s="203"/>
      <c r="J7" s="203">
        <v>5.55555555555556</v>
      </c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Y7" s="219"/>
      <c r="Z7" s="203">
        <v>18</v>
      </c>
      <c r="AA7" s="203"/>
      <c r="AB7" s="203">
        <f t="shared" si="0"/>
        <v>100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43070</v>
      </c>
      <c r="C8" s="219" t="s">
        <v>168</v>
      </c>
      <c r="D8" s="203">
        <v>11.1111111111111</v>
      </c>
      <c r="E8" s="203">
        <v>83.3333333333333</v>
      </c>
      <c r="F8" s="203">
        <v>0</v>
      </c>
      <c r="G8" s="203"/>
      <c r="H8" s="203"/>
      <c r="I8" s="203"/>
      <c r="J8" s="203">
        <v>5.55555555555556</v>
      </c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Y8" s="219"/>
      <c r="Z8" s="203">
        <v>18</v>
      </c>
      <c r="AA8" s="203"/>
      <c r="AB8" s="203">
        <f t="shared" si="0"/>
        <v>100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43101</v>
      </c>
      <c r="C9" s="219" t="s">
        <v>169</v>
      </c>
      <c r="D9" s="203">
        <v>14.2011834319527</v>
      </c>
      <c r="E9" s="203">
        <v>79.6844181459566</v>
      </c>
      <c r="F9" s="203">
        <v>0</v>
      </c>
      <c r="G9" s="203"/>
      <c r="H9" s="203"/>
      <c r="I9" s="203"/>
      <c r="J9" s="203">
        <v>6.11439842209073</v>
      </c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Y9" s="219"/>
      <c r="Z9" s="203">
        <v>16.3548387096774</v>
      </c>
      <c r="AA9" s="203"/>
      <c r="AB9" s="203">
        <f t="shared" si="0"/>
        <v>100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43132</v>
      </c>
      <c r="C10" s="219" t="s">
        <v>170</v>
      </c>
      <c r="D10" s="203">
        <v>14.8714680263437</v>
      </c>
      <c r="E10" s="203">
        <v>77.3316337369875</v>
      </c>
      <c r="F10" s="203">
        <v>1.84831102613129</v>
      </c>
      <c r="G10" s="203"/>
      <c r="H10" s="203"/>
      <c r="I10" s="203"/>
      <c r="J10" s="203">
        <v>5.9485872105375</v>
      </c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Y10" s="219"/>
      <c r="Z10" s="203">
        <v>16.8107142857143</v>
      </c>
      <c r="AA10" s="203"/>
      <c r="AB10" s="203">
        <f t="shared" si="0"/>
        <v>100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43160</v>
      </c>
      <c r="C11" s="219" t="s">
        <v>171</v>
      </c>
      <c r="D11" s="203">
        <v>14.6752508994509</v>
      </c>
      <c r="E11" s="203">
        <v>76.3113046771445</v>
      </c>
      <c r="F11" s="203">
        <v>3.52206021586821</v>
      </c>
      <c r="G11" s="203"/>
      <c r="H11" s="203"/>
      <c r="I11" s="203"/>
      <c r="J11" s="203">
        <v>5.49138420753645</v>
      </c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Y11" s="219"/>
      <c r="Z11" s="203">
        <v>17.0354838709677</v>
      </c>
      <c r="AA11" s="203"/>
      <c r="AB11" s="203">
        <f t="shared" si="0"/>
        <v>100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43191</v>
      </c>
      <c r="C12" s="219" t="s">
        <v>172</v>
      </c>
      <c r="D12" s="203">
        <v>8.18053596614951</v>
      </c>
      <c r="E12" s="203">
        <v>74.75317348378</v>
      </c>
      <c r="F12" s="203">
        <v>3.80818053596615</v>
      </c>
      <c r="G12" s="203"/>
      <c r="H12" s="203"/>
      <c r="I12" s="203"/>
      <c r="J12" s="203">
        <v>13.2581100141044</v>
      </c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Y12" s="219"/>
      <c r="Z12" s="203">
        <v>11.8166666666667</v>
      </c>
      <c r="AA12" s="203"/>
      <c r="AB12" s="203">
        <f t="shared" si="0"/>
        <v>100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43221</v>
      </c>
      <c r="C13" s="219" t="s">
        <v>173</v>
      </c>
      <c r="D13" s="203">
        <v>4.83304042179262</v>
      </c>
      <c r="E13" s="203">
        <v>80.8435852372584</v>
      </c>
      <c r="F13" s="203">
        <v>2.98769771528998</v>
      </c>
      <c r="G13" s="203"/>
      <c r="H13" s="203"/>
      <c r="I13" s="203"/>
      <c r="J13" s="203">
        <v>11.3356766256591</v>
      </c>
      <c r="K13" s="203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Y13" s="219"/>
      <c r="Z13" s="203">
        <v>18.3548387096774</v>
      </c>
      <c r="AA13" s="203"/>
      <c r="AB13" s="203">
        <f t="shared" si="0"/>
        <v>100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43252</v>
      </c>
      <c r="C14" s="219" t="s">
        <v>174</v>
      </c>
      <c r="D14" s="203">
        <v>11.1090538789113</v>
      </c>
      <c r="E14" s="203">
        <v>83.3179040918348</v>
      </c>
      <c r="F14" s="203">
        <v>0.0185150897981855</v>
      </c>
      <c r="G14" s="203"/>
      <c r="H14" s="203"/>
      <c r="I14" s="203"/>
      <c r="J14" s="203">
        <v>5.55452693945566</v>
      </c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Y14" s="219"/>
      <c r="Z14" s="203">
        <v>18.0033333333333</v>
      </c>
      <c r="AA14" s="203"/>
      <c r="AB14" s="203">
        <f t="shared" si="0"/>
        <v>100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43282</v>
      </c>
      <c r="C15" s="219" t="s">
        <v>175</v>
      </c>
      <c r="D15" s="259">
        <v>11.1111111111111</v>
      </c>
      <c r="E15" s="259">
        <v>83.3333333333333</v>
      </c>
      <c r="F15" s="259">
        <v>0</v>
      </c>
      <c r="G15" s="259"/>
      <c r="H15" s="259"/>
      <c r="I15" s="259"/>
      <c r="J15" s="259">
        <v>5.55555555555556</v>
      </c>
      <c r="K15" s="259"/>
      <c r="L15" s="259"/>
      <c r="M15" s="259"/>
      <c r="N15" s="259"/>
      <c r="O15" s="259"/>
      <c r="P15" s="259"/>
      <c r="Q15" s="259"/>
      <c r="R15" s="259"/>
      <c r="S15" s="259"/>
      <c r="T15" s="259"/>
      <c r="U15" s="259"/>
      <c r="Z15" s="203">
        <v>18</v>
      </c>
      <c r="AA15" s="203"/>
      <c r="AB15" s="203">
        <f t="shared" si="0"/>
        <v>100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22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42948</v>
      </c>
      <c r="E28" s="686">
        <v>0.565</v>
      </c>
      <c r="F28" s="685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42979</v>
      </c>
      <c r="E29" s="686">
        <v>0.64</v>
      </c>
      <c r="F29" s="685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43009</v>
      </c>
      <c r="E30" s="686">
        <v>1.085</v>
      </c>
      <c r="F30" s="685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43040</v>
      </c>
      <c r="E31" s="686">
        <v>2.86</v>
      </c>
      <c r="F31" s="685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43070</v>
      </c>
      <c r="E32" s="686">
        <v>3.08</v>
      </c>
      <c r="F32" s="685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43101</v>
      </c>
      <c r="E33" s="686">
        <v>0.24</v>
      </c>
      <c r="F33" s="685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43132</v>
      </c>
      <c r="E34" s="686">
        <v>0.6</v>
      </c>
      <c r="F34" s="685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43160</v>
      </c>
      <c r="E35" s="686">
        <v>6.83</v>
      </c>
      <c r="F35" s="685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43191</v>
      </c>
      <c r="E36" s="686"/>
      <c r="F36" s="685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43221</v>
      </c>
      <c r="E37" s="686">
        <v>1.485</v>
      </c>
      <c r="F37" s="685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43252</v>
      </c>
      <c r="E38" s="686">
        <v>0.62</v>
      </c>
      <c r="F38" s="685"/>
      <c r="G38" s="199"/>
      <c r="H38" s="191"/>
      <c r="I38" s="191"/>
      <c r="J38" s="191"/>
      <c r="AC38" s="694"/>
    </row>
    <row r="39" spans="1:29">
      <c r="A39" s="673"/>
      <c r="D39" s="682">
        <f t="shared" si="1"/>
        <v>43282</v>
      </c>
      <c r="E39" s="686">
        <v>0.525</v>
      </c>
      <c r="F39" s="685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Aug</v>
      </c>
      <c r="D49" s="223"/>
      <c r="E49" s="223">
        <v>53712</v>
      </c>
      <c r="F49" s="225">
        <v>75</v>
      </c>
      <c r="G49" s="225"/>
      <c r="H49" s="225">
        <f>E49/J49/F49*100</f>
        <v>96.258064516129</v>
      </c>
      <c r="I49" s="225" t="e">
        <f>D49/J49/G49*100</f>
        <v>#DIV/0!</v>
      </c>
      <c r="J49">
        <v>744</v>
      </c>
    </row>
    <row r="50" spans="1:10">
      <c r="A50" s="673"/>
      <c r="B50" s="219"/>
      <c r="C50" s="219" t="str">
        <f t="shared" ref="C50:C60" si="2">C5</f>
        <v>Sep</v>
      </c>
      <c r="D50" s="251"/>
      <c r="E50" s="251">
        <v>50740</v>
      </c>
      <c r="F50" s="225">
        <v>75</v>
      </c>
      <c r="G50" s="225"/>
      <c r="H50" s="225">
        <f t="shared" ref="H50:H60" si="3">E50/J50/F50*100</f>
        <v>93.962962962963</v>
      </c>
      <c r="I50" s="225" t="e">
        <f t="shared" ref="I50:I60" si="4">D50/J50/G50*100</f>
        <v>#DIV/0!</v>
      </c>
      <c r="J50">
        <v>720</v>
      </c>
    </row>
    <row r="51" spans="1:10">
      <c r="A51" s="673"/>
      <c r="B51" s="219"/>
      <c r="C51" s="219" t="str">
        <f t="shared" si="2"/>
        <v>Oct</v>
      </c>
      <c r="D51" s="251"/>
      <c r="E51" s="251">
        <v>53302</v>
      </c>
      <c r="F51" s="225">
        <v>75</v>
      </c>
      <c r="G51" s="225"/>
      <c r="H51" s="225">
        <f t="shared" si="3"/>
        <v>95.5232974910394</v>
      </c>
      <c r="I51" s="225" t="e">
        <f t="shared" si="4"/>
        <v>#DIV/0!</v>
      </c>
      <c r="J51">
        <v>744</v>
      </c>
    </row>
    <row r="52" spans="1:10">
      <c r="A52" s="673"/>
      <c r="B52" s="219"/>
      <c r="C52" s="219" t="str">
        <f t="shared" si="2"/>
        <v>Nov</v>
      </c>
      <c r="D52" s="251"/>
      <c r="E52" s="251">
        <v>49442</v>
      </c>
      <c r="F52" s="225">
        <v>75</v>
      </c>
      <c r="G52" s="225"/>
      <c r="H52" s="225">
        <f t="shared" si="3"/>
        <v>91.5592592592593</v>
      </c>
      <c r="I52" s="225" t="e">
        <f t="shared" si="4"/>
        <v>#DIV/0!</v>
      </c>
      <c r="J52">
        <v>720</v>
      </c>
    </row>
    <row r="53" spans="1:10">
      <c r="A53" s="673"/>
      <c r="B53" s="219"/>
      <c r="C53" s="219" t="str">
        <f t="shared" si="2"/>
        <v>dec</v>
      </c>
      <c r="D53" s="251"/>
      <c r="E53" s="251">
        <v>52392</v>
      </c>
      <c r="F53" s="225">
        <v>75</v>
      </c>
      <c r="G53" s="225"/>
      <c r="H53" s="225">
        <f t="shared" si="3"/>
        <v>93.8924731182796</v>
      </c>
      <c r="I53" s="225" t="e">
        <f t="shared" si="4"/>
        <v>#DIV/0!</v>
      </c>
      <c r="J53">
        <v>744</v>
      </c>
    </row>
    <row r="54" spans="1:10">
      <c r="A54" s="673"/>
      <c r="B54" s="219"/>
      <c r="C54" s="219" t="str">
        <f t="shared" si="2"/>
        <v>Jan</v>
      </c>
      <c r="D54" s="251"/>
      <c r="E54" s="251">
        <v>52181</v>
      </c>
      <c r="F54" s="225">
        <v>75</v>
      </c>
      <c r="G54" s="225"/>
      <c r="H54" s="225">
        <f t="shared" si="3"/>
        <v>93.5143369175627</v>
      </c>
      <c r="I54" s="225" t="e">
        <f t="shared" si="4"/>
        <v>#DIV/0!</v>
      </c>
      <c r="J54">
        <v>744</v>
      </c>
    </row>
    <row r="55" spans="1:10">
      <c r="A55" s="673"/>
      <c r="B55" s="219"/>
      <c r="C55" s="219" t="str">
        <f t="shared" si="2"/>
        <v>Feb</v>
      </c>
      <c r="D55" s="251"/>
      <c r="E55" s="251">
        <v>45548</v>
      </c>
      <c r="F55" s="225">
        <v>75</v>
      </c>
      <c r="G55" s="225"/>
      <c r="H55" s="225">
        <f t="shared" si="3"/>
        <v>90.3730158730159</v>
      </c>
      <c r="I55" s="225" t="e">
        <f t="shared" si="4"/>
        <v>#DIV/0!</v>
      </c>
      <c r="J55">
        <v>672</v>
      </c>
    </row>
    <row r="56" spans="1:10">
      <c r="A56" s="673"/>
      <c r="B56" s="219"/>
      <c r="C56" s="219" t="str">
        <f t="shared" si="2"/>
        <v>mar</v>
      </c>
      <c r="D56" s="251"/>
      <c r="E56" s="251">
        <v>44569</v>
      </c>
      <c r="F56" s="225">
        <v>75</v>
      </c>
      <c r="G56" s="225"/>
      <c r="H56" s="225">
        <f t="shared" si="3"/>
        <v>79.8727598566308</v>
      </c>
      <c r="I56" s="225" t="e">
        <f t="shared" si="4"/>
        <v>#DIV/0!</v>
      </c>
      <c r="J56">
        <v>744</v>
      </c>
    </row>
    <row r="57" spans="1:10">
      <c r="A57" s="673"/>
      <c r="B57" s="219"/>
      <c r="C57" s="219" t="str">
        <f t="shared" si="2"/>
        <v>apr</v>
      </c>
      <c r="D57" s="251"/>
      <c r="E57" s="251">
        <v>23602</v>
      </c>
      <c r="F57" s="225">
        <v>75</v>
      </c>
      <c r="G57" s="225"/>
      <c r="H57" s="225">
        <f t="shared" si="3"/>
        <v>43.7074074074074</v>
      </c>
      <c r="I57" s="225" t="e">
        <f t="shared" si="4"/>
        <v>#DIV/0!</v>
      </c>
      <c r="J57">
        <v>720</v>
      </c>
    </row>
    <row r="58" spans="1:10">
      <c r="A58" s="673"/>
      <c r="B58" s="219"/>
      <c r="C58" s="219" t="str">
        <f t="shared" si="2"/>
        <v>May</v>
      </c>
      <c r="D58" s="251"/>
      <c r="E58" s="251">
        <v>19300</v>
      </c>
      <c r="F58" s="225">
        <v>75</v>
      </c>
      <c r="G58" s="225"/>
      <c r="H58" s="225">
        <f t="shared" si="3"/>
        <v>34.5878136200717</v>
      </c>
      <c r="I58" s="225" t="e">
        <f t="shared" si="4"/>
        <v>#DIV/0!</v>
      </c>
      <c r="J58">
        <v>744</v>
      </c>
    </row>
    <row r="59" spans="1:10">
      <c r="A59" s="673"/>
      <c r="B59" s="219"/>
      <c r="C59" s="219" t="str">
        <f t="shared" si="2"/>
        <v>June</v>
      </c>
      <c r="D59" s="251"/>
      <c r="E59" s="251">
        <v>53375</v>
      </c>
      <c r="F59" s="225">
        <v>75</v>
      </c>
      <c r="G59" s="225"/>
      <c r="H59" s="225">
        <f t="shared" si="3"/>
        <v>98.8425925925926</v>
      </c>
      <c r="I59" s="225" t="e">
        <f t="shared" si="4"/>
        <v>#DIV/0!</v>
      </c>
      <c r="J59">
        <v>720</v>
      </c>
    </row>
    <row r="60" spans="1:10">
      <c r="A60" s="673"/>
      <c r="B60" s="228"/>
      <c r="C60" s="224" t="str">
        <f t="shared" si="2"/>
        <v>July</v>
      </c>
      <c r="D60" s="252"/>
      <c r="E60" s="252">
        <v>52682</v>
      </c>
      <c r="F60" s="225">
        <v>75</v>
      </c>
      <c r="G60" s="225"/>
      <c r="H60" s="225">
        <f t="shared" si="3"/>
        <v>94.4121863799283</v>
      </c>
      <c r="I60" s="225" t="e">
        <f t="shared" si="4"/>
        <v>#DIV/0!</v>
      </c>
      <c r="J60">
        <v>744</v>
      </c>
    </row>
    <row r="61" spans="1:12">
      <c r="A61" s="673"/>
      <c r="D61" s="251"/>
      <c r="E61" s="684">
        <f>SUM(E49:E60)/8760</f>
        <v>62.8818493150685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A1:O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738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75</v>
      </c>
      <c r="G3" s="22"/>
      <c r="H3" s="23" t="s">
        <v>187</v>
      </c>
      <c r="I3" s="5" t="s">
        <v>188</v>
      </c>
      <c r="J3" s="35">
        <v>593712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71</v>
      </c>
      <c r="G4" s="216"/>
      <c r="H4" s="25" t="s">
        <v>187</v>
      </c>
      <c r="I4" s="7" t="s">
        <v>191</v>
      </c>
      <c r="J4" s="37">
        <v>732033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98.3768368120426</v>
      </c>
      <c r="H6" s="27" t="s">
        <v>195</v>
      </c>
      <c r="I6" s="1"/>
      <c r="J6" s="40">
        <v>145459.44</v>
      </c>
      <c r="K6" s="41" t="s">
        <v>196</v>
      </c>
      <c r="L6" s="1"/>
    </row>
    <row r="7" ht="21.75" customHeight="1" spans="1:13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  <c r="M7" t="s">
        <v>77</v>
      </c>
    </row>
    <row r="8" ht="21.75" customHeight="1" spans="1:14">
      <c r="A8" s="1"/>
      <c r="B8" s="11"/>
      <c r="C8" s="1" t="s">
        <v>198</v>
      </c>
      <c r="D8" s="1"/>
      <c r="E8" s="1"/>
      <c r="F8" s="1"/>
      <c r="G8" s="26">
        <v>1.62316318795743</v>
      </c>
      <c r="H8" s="27" t="s">
        <v>195</v>
      </c>
      <c r="I8" s="1"/>
      <c r="J8" s="40">
        <v>2400</v>
      </c>
      <c r="K8" s="41" t="s">
        <v>196</v>
      </c>
      <c r="L8" s="1"/>
      <c r="N8" t="s">
        <v>77</v>
      </c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147859.44</v>
      </c>
      <c r="K9" s="43" t="s">
        <v>196</v>
      </c>
      <c r="L9" s="12"/>
    </row>
    <row r="10" ht="21.75" customHeight="1" spans="1:15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  <c r="O10" t="s">
        <v>77</v>
      </c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14.7939425425146</v>
      </c>
      <c r="H11" s="27" t="s">
        <v>195</v>
      </c>
      <c r="I11" s="1"/>
      <c r="J11" s="40">
        <v>25700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30</v>
      </c>
      <c r="F13" s="15" t="s">
        <v>204</v>
      </c>
      <c r="G13" s="31"/>
      <c r="H13" s="15"/>
      <c r="I13" s="15"/>
      <c r="J13" s="45">
        <v>900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4.20217044981932</v>
      </c>
      <c r="H16" s="27" t="s">
        <v>195</v>
      </c>
      <c r="I16" s="1"/>
      <c r="J16" s="40">
        <v>7300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8.66558926086412</v>
      </c>
      <c r="H17" s="27" t="s">
        <v>195</v>
      </c>
      <c r="I17" s="1"/>
      <c r="J17" s="40">
        <v>15053.84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33.4904292689806</v>
      </c>
      <c r="H18" s="27" t="s">
        <v>195</v>
      </c>
      <c r="I18" s="1"/>
      <c r="J18" s="40">
        <v>58179.49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38.8478684778213</v>
      </c>
      <c r="H19" s="27" t="s">
        <v>195</v>
      </c>
      <c r="I19" s="1"/>
      <c r="J19" s="40">
        <v>67486.42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19878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13854.23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2256.82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7459.24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17157.5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6880.63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173719.75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24.9042363974452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29.2599357937855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-4.35569939634032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-25860.31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 spans="9:9">
      <c r="I40" t="s">
        <v>77</v>
      </c>
    </row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/>
  </sheetPr>
  <dimension ref="A1:S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754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755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756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741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9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9" t="s">
        <v>757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603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/>
      <c r="G14" s="68"/>
      <c r="H14" s="64"/>
      <c r="I14" s="57" t="s">
        <v>248</v>
      </c>
      <c r="J14" s="64"/>
      <c r="K14" s="703">
        <v>39745.527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/>
      <c r="E15" s="69">
        <v>3185</v>
      </c>
      <c r="F15" s="69"/>
      <c r="G15" s="69"/>
      <c r="H15" s="98"/>
      <c r="I15" s="57" t="s">
        <v>249</v>
      </c>
      <c r="J15" s="64"/>
      <c r="K15" s="704">
        <v>108.891854794521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3850</v>
      </c>
      <c r="E16" s="69">
        <v>2900</v>
      </c>
      <c r="F16" s="69"/>
      <c r="G16" s="69"/>
      <c r="H16" s="98">
        <f>D16+E16+F16</f>
        <v>6750</v>
      </c>
      <c r="I16" s="56" t="s">
        <v>157</v>
      </c>
      <c r="J16" s="56"/>
      <c r="K16" s="704">
        <v>23.1255959947392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679</v>
      </c>
      <c r="E17" s="70" t="s">
        <v>63</v>
      </c>
      <c r="F17" s="70"/>
      <c r="G17" s="70"/>
      <c r="H17" s="98"/>
      <c r="I17" s="56" t="s">
        <v>58</v>
      </c>
      <c r="J17" s="56"/>
      <c r="K17" s="704">
        <v>35.1718823604981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1800</v>
      </c>
      <c r="F18" s="71"/>
      <c r="G18" s="71"/>
      <c r="H18" s="98">
        <f>D18+E18+F18</f>
        <v>1800</v>
      </c>
      <c r="I18" s="56" t="s">
        <v>67</v>
      </c>
      <c r="J18" s="56"/>
      <c r="K18" s="704">
        <v>20.9442687726848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68</v>
      </c>
      <c r="J19" s="56"/>
      <c r="K19" s="704">
        <v>20.2096955463693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222</v>
      </c>
      <c r="J20" s="56"/>
      <c r="K20" s="704">
        <v>0.548557325708626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10.89</v>
      </c>
      <c r="E21" s="75"/>
      <c r="F21" s="77"/>
      <c r="G21" s="77"/>
      <c r="H21" s="102"/>
      <c r="I21" s="56"/>
      <c r="J21" s="56"/>
      <c r="K21" s="702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73.4</v>
      </c>
      <c r="E22" s="75"/>
      <c r="F22" s="77"/>
      <c r="G22" s="77"/>
      <c r="H22" s="102"/>
      <c r="I22" s="56"/>
      <c r="J22" s="56"/>
      <c r="K22" s="702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549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758</v>
      </c>
      <c r="I24" s="127" t="s">
        <v>80</v>
      </c>
      <c r="J24" s="56"/>
      <c r="K24" s="122">
        <v>29.5377601262832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699" t="s">
        <v>657</v>
      </c>
      <c r="I25" s="128" t="s">
        <v>83</v>
      </c>
      <c r="J25" s="56"/>
      <c r="K25" s="122">
        <v>93.3544805919128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759</v>
      </c>
      <c r="I26" s="57" t="s">
        <v>86</v>
      </c>
      <c r="J26" s="56"/>
      <c r="K26" s="122">
        <v>75.5766568210568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267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413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7.74</v>
      </c>
      <c r="E29" s="75"/>
      <c r="F29" s="75"/>
      <c r="G29" s="80"/>
      <c r="H29" s="78"/>
      <c r="I29" s="66" t="s">
        <v>26</v>
      </c>
      <c r="J29" s="64"/>
      <c r="K29" s="13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51</v>
      </c>
      <c r="E30" s="77" t="s">
        <v>760</v>
      </c>
      <c r="F30" s="77"/>
      <c r="G30" s="77"/>
      <c r="H30" s="78"/>
      <c r="I30" s="66" t="s">
        <v>96</v>
      </c>
      <c r="J30" s="92"/>
      <c r="K30" s="135">
        <v>8600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1.85</v>
      </c>
      <c r="E31" s="75"/>
      <c r="F31" s="75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4.6</v>
      </c>
      <c r="E32" s="75"/>
      <c r="F32" s="75"/>
      <c r="G32" s="80"/>
      <c r="H32" s="78"/>
      <c r="I32" s="66" t="s">
        <v>66</v>
      </c>
      <c r="J32" s="92"/>
      <c r="K32" s="135">
        <v>6000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441</v>
      </c>
      <c r="E33" s="77"/>
      <c r="F33" s="80"/>
      <c r="G33" s="80"/>
      <c r="H33" s="78"/>
      <c r="I33" s="57" t="s">
        <v>103</v>
      </c>
      <c r="J33" s="64"/>
      <c r="K33" s="136">
        <v>2.7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0.2359</v>
      </c>
      <c r="E34" s="80"/>
      <c r="F34" s="80"/>
      <c r="G34" s="80"/>
      <c r="H34" s="78"/>
      <c r="I34" s="66" t="s">
        <v>105</v>
      </c>
      <c r="J34" s="64"/>
      <c r="K34" s="137">
        <v>2.3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66.2387474308869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230" t="s">
        <v>107</v>
      </c>
      <c r="C37" s="82" t="s">
        <v>761</v>
      </c>
      <c r="D37" s="3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ht="15" customHeight="1" spans="1:12">
      <c r="A39" s="157"/>
      <c r="B39" s="85"/>
      <c r="C39" s="64"/>
      <c r="D39" s="78"/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53.3</v>
      </c>
    </row>
    <row r="41" ht="15" customHeight="1" spans="1:12">
      <c r="A41" s="157"/>
      <c r="B41" s="86"/>
      <c r="C41" s="77"/>
      <c r="D41" s="67"/>
      <c r="E41" s="67"/>
      <c r="F41" s="67"/>
      <c r="G41" s="67"/>
      <c r="H41" s="67"/>
      <c r="I41" s="66"/>
      <c r="J41" s="64" t="s">
        <v>113</v>
      </c>
      <c r="K41" s="143" t="s">
        <v>116</v>
      </c>
      <c r="L41" s="145">
        <v>46.6</v>
      </c>
    </row>
    <row r="42" ht="15" customHeight="1" spans="1:12">
      <c r="A42" s="157"/>
      <c r="B42" s="66"/>
      <c r="C42" s="64"/>
      <c r="D42" s="78"/>
      <c r="E42" s="78"/>
      <c r="F42" s="78"/>
      <c r="G42" s="78"/>
      <c r="H42" s="102"/>
      <c r="I42" s="66"/>
      <c r="J42" s="64" t="s">
        <v>113</v>
      </c>
      <c r="K42" s="143" t="s">
        <v>120</v>
      </c>
      <c r="L42" s="146">
        <v>0</v>
      </c>
    </row>
    <row r="43" ht="15" customHeight="1" spans="1:12">
      <c r="A43" s="157"/>
      <c r="B43" s="66"/>
      <c r="C43" s="64"/>
      <c r="D43" s="77"/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95</v>
      </c>
    </row>
    <row r="44" ht="15" customHeight="1" spans="1:17">
      <c r="A44" s="157"/>
      <c r="B44" s="66"/>
      <c r="C44" s="64"/>
      <c r="D44" s="77"/>
      <c r="E44" s="77"/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/>
      <c r="C45" s="64"/>
      <c r="D45" s="78"/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/>
      <c r="C46" s="64"/>
      <c r="D46" s="78"/>
      <c r="E46" s="78"/>
      <c r="F46" s="78"/>
      <c r="G46" s="78"/>
      <c r="H46" s="102"/>
      <c r="I46" s="66"/>
      <c r="J46" s="64" t="s">
        <v>131</v>
      </c>
      <c r="K46" s="79">
        <v>213.918110173322</v>
      </c>
      <c r="L46" s="147">
        <v>114.104444645343</v>
      </c>
      <c r="M46" s="180"/>
    </row>
    <row r="47" ht="15" customHeight="1" spans="1:12">
      <c r="A47" s="157"/>
      <c r="B47" s="57"/>
      <c r="C47" s="56"/>
      <c r="D47" s="70"/>
      <c r="E47" s="70"/>
      <c r="F47" s="70"/>
      <c r="G47" s="70"/>
      <c r="H47" s="70"/>
      <c r="I47" s="66"/>
      <c r="J47" s="64" t="s">
        <v>134</v>
      </c>
      <c r="K47" s="79">
        <v>826.328095307161</v>
      </c>
      <c r="L47" s="147">
        <v>440.765432779268</v>
      </c>
    </row>
    <row r="48" ht="15" customHeight="1" spans="1:18">
      <c r="A48" s="157"/>
      <c r="B48" s="87"/>
      <c r="C48" s="64"/>
      <c r="D48" s="78"/>
      <c r="E48" s="78"/>
      <c r="F48" s="78"/>
      <c r="G48" s="78"/>
      <c r="H48" s="102"/>
      <c r="I48" s="65" t="s">
        <v>565</v>
      </c>
      <c r="J48" s="64"/>
      <c r="K48" s="143"/>
      <c r="L48" s="120"/>
      <c r="N48" s="179"/>
      <c r="R48" s="182"/>
    </row>
    <row r="49" ht="15" customHeight="1" spans="1:18">
      <c r="A49" s="157"/>
      <c r="B49" s="87"/>
      <c r="C49" s="64"/>
      <c r="D49" s="78"/>
      <c r="E49" s="78"/>
      <c r="F49" s="78"/>
      <c r="G49" s="78"/>
      <c r="H49" s="102"/>
      <c r="I49" s="66"/>
      <c r="J49" s="64" t="s">
        <v>139</v>
      </c>
      <c r="K49" s="890" t="s">
        <v>762</v>
      </c>
      <c r="L49" s="120"/>
      <c r="N49" s="179"/>
      <c r="R49" s="182"/>
    </row>
    <row r="50" ht="15" customHeight="1" spans="1:14">
      <c r="A50" s="157"/>
      <c r="B50" s="84"/>
      <c r="C50" s="56"/>
      <c r="D50" s="78"/>
      <c r="E50" s="107"/>
      <c r="F50" s="78"/>
      <c r="G50" s="78"/>
      <c r="H50" s="102"/>
      <c r="I50" s="64"/>
      <c r="J50" s="64" t="s">
        <v>341</v>
      </c>
      <c r="K50" s="79">
        <f>4274832/8760</f>
        <v>487.994520547945</v>
      </c>
      <c r="L50" s="120"/>
      <c r="N50" s="179"/>
    </row>
    <row r="51" ht="15" customHeight="1" spans="1:14">
      <c r="A51" s="157"/>
      <c r="B51" s="88" t="s">
        <v>142</v>
      </c>
      <c r="C51" s="89"/>
      <c r="D51" s="89"/>
      <c r="E51" s="108"/>
      <c r="F51" s="99"/>
      <c r="G51" s="99"/>
      <c r="H51" s="109"/>
      <c r="I51" s="78"/>
      <c r="J51" s="78"/>
      <c r="K51" s="78"/>
      <c r="L51" s="114"/>
      <c r="N51" s="179"/>
    </row>
    <row r="52" ht="15" customHeight="1" spans="1:14">
      <c r="A52" s="157"/>
      <c r="B52" s="90" t="s">
        <v>143</v>
      </c>
      <c r="C52" s="78"/>
      <c r="D52" s="64"/>
      <c r="E52" s="64"/>
      <c r="F52" s="64"/>
      <c r="G52" s="110" t="s">
        <v>144</v>
      </c>
      <c r="H52" s="64"/>
      <c r="I52" s="83"/>
      <c r="J52" s="140"/>
      <c r="K52" s="140"/>
      <c r="L52" s="152"/>
      <c r="N52" s="156" t="s">
        <v>77</v>
      </c>
    </row>
    <row r="53" ht="15" customHeight="1" spans="1:18">
      <c r="A53" s="157"/>
      <c r="B53" s="66"/>
      <c r="C53" s="91" t="s">
        <v>145</v>
      </c>
      <c r="D53" s="92"/>
      <c r="E53" s="92"/>
      <c r="F53" s="64"/>
      <c r="G53" s="64"/>
      <c r="H53" s="64"/>
      <c r="I53" s="78" t="s">
        <v>145</v>
      </c>
      <c r="J53" s="64"/>
      <c r="K53" s="64"/>
      <c r="L53" s="114"/>
      <c r="R53" s="183"/>
    </row>
    <row r="54" ht="15" customHeight="1" spans="1:12">
      <c r="A54" s="157"/>
      <c r="B54" s="66" t="s">
        <v>146</v>
      </c>
      <c r="C54" s="93">
        <v>2765264</v>
      </c>
      <c r="D54" s="69"/>
      <c r="E54" s="111"/>
      <c r="F54" s="64"/>
      <c r="G54" s="64" t="s">
        <v>148</v>
      </c>
      <c r="H54" s="64"/>
      <c r="I54" s="69">
        <v>607996</v>
      </c>
      <c r="J54" s="69"/>
      <c r="K54" s="111"/>
      <c r="L54" s="114"/>
    </row>
    <row r="55" ht="15" customHeight="1" spans="1:12">
      <c r="A55" s="157"/>
      <c r="B55" s="66" t="s">
        <v>763</v>
      </c>
      <c r="C55" s="93">
        <v>734511</v>
      </c>
      <c r="D55" s="69"/>
      <c r="E55" s="111"/>
      <c r="F55" s="64"/>
      <c r="G55" s="64"/>
      <c r="H55" s="64"/>
      <c r="I55" s="69"/>
      <c r="J55" s="69"/>
      <c r="K55" s="111"/>
      <c r="L55" s="114"/>
    </row>
    <row r="56" ht="15" customHeight="1" spans="1:12">
      <c r="A56" s="157"/>
      <c r="B56" s="66" t="s">
        <v>764</v>
      </c>
      <c r="C56" s="93">
        <v>2030753</v>
      </c>
      <c r="D56" s="69"/>
      <c r="E56" s="111"/>
      <c r="F56" s="64"/>
      <c r="G56" s="64"/>
      <c r="H56" s="64"/>
      <c r="I56" s="69"/>
      <c r="J56" s="69"/>
      <c r="K56" s="111"/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K49 C5" numberStoredAsText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/>
  </sheetPr>
  <dimension ref="A1:AJ66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321</v>
      </c>
      <c r="K2" t="s">
        <v>159</v>
      </c>
      <c r="L2" t="s">
        <v>159</v>
      </c>
      <c r="M2" t="s">
        <v>159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222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42948</v>
      </c>
      <c r="C4" s="219" t="s">
        <v>176</v>
      </c>
      <c r="D4" s="674"/>
      <c r="E4" s="674"/>
      <c r="F4" s="674">
        <v>43.0951208049511</v>
      </c>
      <c r="G4" s="674"/>
      <c r="H4" s="674">
        <v>0</v>
      </c>
      <c r="I4" s="674">
        <v>33.9406139054511</v>
      </c>
      <c r="J4" s="674"/>
      <c r="K4" s="674"/>
      <c r="L4" s="674"/>
      <c r="M4" s="674"/>
      <c r="N4" s="674"/>
      <c r="O4" s="674"/>
      <c r="P4" s="674"/>
      <c r="Q4" s="674"/>
      <c r="R4" s="674">
        <v>21.7262056430379</v>
      </c>
      <c r="S4" s="674"/>
      <c r="T4" s="674"/>
      <c r="U4" s="674">
        <v>1.23805964655988</v>
      </c>
      <c r="Y4" s="219"/>
      <c r="Z4" s="203">
        <v>113.94</v>
      </c>
      <c r="AA4" s="203"/>
      <c r="AB4" s="203">
        <f>SUM(D4:O4)</f>
        <v>77.0357347104022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42979</v>
      </c>
      <c r="C5" s="219" t="s">
        <v>177</v>
      </c>
      <c r="D5" s="203"/>
      <c r="E5" s="203"/>
      <c r="F5" s="203">
        <v>41.7291972575181</v>
      </c>
      <c r="G5" s="203"/>
      <c r="H5" s="203">
        <v>0</v>
      </c>
      <c r="I5" s="203">
        <v>31.5605091859269</v>
      </c>
      <c r="J5" s="203"/>
      <c r="K5" s="203"/>
      <c r="L5" s="203"/>
      <c r="M5" s="203"/>
      <c r="N5" s="203"/>
      <c r="O5" s="203"/>
      <c r="P5" s="203"/>
      <c r="Q5" s="203"/>
      <c r="R5" s="203">
        <v>25.5682672185545</v>
      </c>
      <c r="S5" s="203"/>
      <c r="T5" s="203"/>
      <c r="U5" s="203">
        <v>1.14202633800049</v>
      </c>
      <c r="Y5" s="219"/>
      <c r="Z5" s="203">
        <v>115.321333333333</v>
      </c>
      <c r="AA5" s="203"/>
      <c r="AB5" s="203">
        <f t="shared" ref="AB5:AB15" si="0">SUM(D5:O5)</f>
        <v>73.289706443445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43009</v>
      </c>
      <c r="C6" s="219" t="s">
        <v>166</v>
      </c>
      <c r="D6" s="203"/>
      <c r="E6" s="203"/>
      <c r="F6" s="203">
        <v>34.6600474112756</v>
      </c>
      <c r="G6" s="203"/>
      <c r="H6" s="203">
        <v>20.4624317174563</v>
      </c>
      <c r="I6" s="203">
        <v>20.0069284593626</v>
      </c>
      <c r="J6" s="203"/>
      <c r="K6" s="203"/>
      <c r="L6" s="203"/>
      <c r="M6" s="203"/>
      <c r="N6" s="203"/>
      <c r="O6" s="203"/>
      <c r="P6" s="203"/>
      <c r="Q6" s="203"/>
      <c r="R6" s="203">
        <v>24.5905910376656</v>
      </c>
      <c r="S6" s="203"/>
      <c r="T6" s="203"/>
      <c r="U6" s="203">
        <v>0.280001374239874</v>
      </c>
      <c r="Y6" s="219"/>
      <c r="Z6" s="203">
        <v>112.672258064516</v>
      </c>
      <c r="AA6" s="203"/>
      <c r="AB6" s="203">
        <f t="shared" si="0"/>
        <v>75.1294075880945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43040</v>
      </c>
      <c r="C7" s="219" t="s">
        <v>167</v>
      </c>
      <c r="D7" s="203"/>
      <c r="E7" s="203"/>
      <c r="F7" s="203">
        <v>34.9564885608206</v>
      </c>
      <c r="G7" s="203"/>
      <c r="H7" s="203">
        <v>21.6632669533188</v>
      </c>
      <c r="I7" s="203">
        <v>20.6137094052214</v>
      </c>
      <c r="J7" s="203"/>
      <c r="K7" s="203"/>
      <c r="L7" s="203"/>
      <c r="M7" s="203"/>
      <c r="N7" s="203"/>
      <c r="O7" s="203"/>
      <c r="P7" s="203"/>
      <c r="Q7" s="203"/>
      <c r="R7" s="203">
        <v>22.7451095490366</v>
      </c>
      <c r="S7" s="203"/>
      <c r="T7" s="203"/>
      <c r="U7" s="203">
        <v>0.0214255316026591</v>
      </c>
      <c r="Y7" s="219"/>
      <c r="Z7" s="203">
        <v>113.571666666667</v>
      </c>
      <c r="AA7" s="203"/>
      <c r="AB7" s="203">
        <f t="shared" si="0"/>
        <v>77.2334649193608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43070</v>
      </c>
      <c r="C8" s="219" t="s">
        <v>168</v>
      </c>
      <c r="D8" s="203"/>
      <c r="E8" s="203"/>
      <c r="F8" s="203">
        <v>28.9732757294723</v>
      </c>
      <c r="G8" s="203"/>
      <c r="H8" s="203">
        <v>27.194872076871</v>
      </c>
      <c r="I8" s="203">
        <v>25.6280598066429</v>
      </c>
      <c r="J8" s="203"/>
      <c r="K8" s="203"/>
      <c r="L8" s="203"/>
      <c r="M8" s="203"/>
      <c r="N8" s="203"/>
      <c r="O8" s="203"/>
      <c r="P8" s="203"/>
      <c r="Q8" s="203"/>
      <c r="R8" s="203">
        <v>18.1996482243458</v>
      </c>
      <c r="S8" s="203"/>
      <c r="T8" s="203"/>
      <c r="U8" s="203">
        <v>0.00414416266794817</v>
      </c>
      <c r="Y8" s="219"/>
      <c r="Z8" s="203">
        <v>80.9533548387097</v>
      </c>
      <c r="AA8" s="203"/>
      <c r="AB8" s="203">
        <f t="shared" si="0"/>
        <v>81.7962076129862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43101</v>
      </c>
      <c r="C9" s="219" t="s">
        <v>169</v>
      </c>
      <c r="D9" s="203"/>
      <c r="E9" s="203"/>
      <c r="F9" s="203">
        <v>40.2203300070288</v>
      </c>
      <c r="G9" s="203"/>
      <c r="H9" s="203">
        <v>37.0068451949909</v>
      </c>
      <c r="I9" s="203">
        <v>13.6606731457711</v>
      </c>
      <c r="J9" s="203"/>
      <c r="K9" s="203"/>
      <c r="L9" s="203"/>
      <c r="M9" s="203"/>
      <c r="N9" s="203"/>
      <c r="O9" s="203"/>
      <c r="P9" s="203"/>
      <c r="Q9" s="203"/>
      <c r="R9" s="203">
        <v>9.10993070972251</v>
      </c>
      <c r="S9" s="203"/>
      <c r="T9" s="203"/>
      <c r="U9" s="203">
        <v>0.00222094248666105</v>
      </c>
      <c r="Y9" s="219"/>
      <c r="Z9" s="203">
        <v>103.123903225806</v>
      </c>
      <c r="AA9" s="203"/>
      <c r="AB9" s="203">
        <f t="shared" si="0"/>
        <v>90.8878483477908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43132</v>
      </c>
      <c r="C10" s="219" t="s">
        <v>170</v>
      </c>
      <c r="D10" s="203"/>
      <c r="E10" s="203"/>
      <c r="F10" s="203">
        <v>35.4847092161991</v>
      </c>
      <c r="G10" s="203"/>
      <c r="H10" s="203">
        <v>29.821280330088</v>
      </c>
      <c r="I10" s="203">
        <v>20.662742888864</v>
      </c>
      <c r="J10" s="203"/>
      <c r="K10" s="203"/>
      <c r="L10" s="203"/>
      <c r="M10" s="203"/>
      <c r="N10" s="203"/>
      <c r="O10" s="203"/>
      <c r="P10" s="203"/>
      <c r="Q10" s="203"/>
      <c r="R10" s="203">
        <v>14.0253243628919</v>
      </c>
      <c r="S10" s="203"/>
      <c r="T10" s="203"/>
      <c r="U10" s="203">
        <v>0.00594320195695731</v>
      </c>
      <c r="Y10" s="219"/>
      <c r="Z10" s="203">
        <v>112.974214285714</v>
      </c>
      <c r="AA10" s="203"/>
      <c r="AB10" s="203">
        <f t="shared" si="0"/>
        <v>85.9687324351511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43160</v>
      </c>
      <c r="C11" s="219" t="s">
        <v>171</v>
      </c>
      <c r="D11" s="203"/>
      <c r="E11" s="203"/>
      <c r="F11" s="203">
        <v>20.0414475558894</v>
      </c>
      <c r="G11" s="203"/>
      <c r="H11" s="203">
        <v>36.9186332668445</v>
      </c>
      <c r="I11" s="203">
        <v>18.7537238038494</v>
      </c>
      <c r="J11" s="203"/>
      <c r="K11" s="203"/>
      <c r="L11" s="203"/>
      <c r="M11" s="203"/>
      <c r="N11" s="203"/>
      <c r="O11" s="203"/>
      <c r="P11" s="203"/>
      <c r="Q11" s="203"/>
      <c r="R11" s="203">
        <v>24.2799782400332</v>
      </c>
      <c r="S11" s="203"/>
      <c r="T11" s="203"/>
      <c r="U11" s="203">
        <v>0.0062171333834158</v>
      </c>
      <c r="Y11" s="219"/>
      <c r="Z11" s="203">
        <v>124.525806451613</v>
      </c>
      <c r="AA11" s="203"/>
      <c r="AB11" s="203">
        <f t="shared" si="0"/>
        <v>75.7138046265834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43191</v>
      </c>
      <c r="C12" s="219" t="s">
        <v>172</v>
      </c>
      <c r="D12" s="203"/>
      <c r="E12" s="203"/>
      <c r="F12" s="203">
        <v>25.6869516755769</v>
      </c>
      <c r="G12" s="203"/>
      <c r="H12" s="203">
        <v>20.6927850795835</v>
      </c>
      <c r="I12" s="203">
        <v>23.6522184453446</v>
      </c>
      <c r="J12" s="203"/>
      <c r="K12" s="203"/>
      <c r="L12" s="203"/>
      <c r="M12" s="203"/>
      <c r="N12" s="203"/>
      <c r="O12" s="203"/>
      <c r="P12" s="203"/>
      <c r="Q12" s="203"/>
      <c r="R12" s="203">
        <v>29.9604153684901</v>
      </c>
      <c r="S12" s="203"/>
      <c r="T12" s="203"/>
      <c r="U12" s="203">
        <v>0.0076294310048943</v>
      </c>
      <c r="Y12" s="219"/>
      <c r="Z12" s="203">
        <v>101.798766666667</v>
      </c>
      <c r="AA12" s="203"/>
      <c r="AB12" s="203">
        <f t="shared" si="0"/>
        <v>70.031955200505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43221</v>
      </c>
      <c r="C13" s="219" t="s">
        <v>173</v>
      </c>
      <c r="D13" s="203"/>
      <c r="E13" s="203"/>
      <c r="F13" s="203">
        <v>32.4689221023481</v>
      </c>
      <c r="G13" s="203"/>
      <c r="H13" s="203">
        <v>28.9238663949356</v>
      </c>
      <c r="I13" s="203">
        <v>17.985079669049</v>
      </c>
      <c r="J13" s="203"/>
      <c r="K13" s="203"/>
      <c r="L13" s="203"/>
      <c r="M13" s="203"/>
      <c r="N13" s="203"/>
      <c r="O13" s="203"/>
      <c r="P13" s="203"/>
      <c r="Q13" s="203"/>
      <c r="R13" s="203">
        <v>20.4129056989739</v>
      </c>
      <c r="S13" s="203"/>
      <c r="T13" s="203"/>
      <c r="U13" s="203">
        <v>0.209226134693459</v>
      </c>
      <c r="Y13" s="219"/>
      <c r="Z13" s="203">
        <v>114.107129032258</v>
      </c>
      <c r="AA13" s="203"/>
      <c r="AB13" s="203">
        <f t="shared" si="0"/>
        <v>79.3778681663326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43252</v>
      </c>
      <c r="C14" s="219" t="s">
        <v>174</v>
      </c>
      <c r="D14" s="203"/>
      <c r="E14" s="203"/>
      <c r="F14" s="203">
        <v>36.1330549187389</v>
      </c>
      <c r="G14" s="203"/>
      <c r="H14" s="203">
        <v>20.1664646700641</v>
      </c>
      <c r="I14" s="203">
        <v>22.4341807455865</v>
      </c>
      <c r="J14" s="203"/>
      <c r="K14" s="203"/>
      <c r="L14" s="203"/>
      <c r="M14" s="203"/>
      <c r="N14" s="203"/>
      <c r="O14" s="203"/>
      <c r="P14" s="203"/>
      <c r="Q14" s="203"/>
      <c r="R14" s="203">
        <v>18.146693339953</v>
      </c>
      <c r="S14" s="203"/>
      <c r="T14" s="203"/>
      <c r="U14" s="203">
        <v>3.11960632565746</v>
      </c>
      <c r="Y14" s="219"/>
      <c r="Z14" s="203">
        <v>114.138333333333</v>
      </c>
      <c r="AA14" s="203"/>
      <c r="AB14" s="203">
        <f t="shared" si="0"/>
        <v>78.7337003343896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43282</v>
      </c>
      <c r="C15" s="219" t="s">
        <v>175</v>
      </c>
      <c r="D15" s="259"/>
      <c r="E15" s="259"/>
      <c r="F15" s="259">
        <v>49.3020412759181</v>
      </c>
      <c r="G15" s="259"/>
      <c r="H15" s="259">
        <v>0</v>
      </c>
      <c r="I15" s="259">
        <v>29.4497080444609</v>
      </c>
      <c r="J15" s="259"/>
      <c r="K15" s="259"/>
      <c r="L15" s="259"/>
      <c r="M15" s="259"/>
      <c r="N15" s="259"/>
      <c r="O15" s="259"/>
      <c r="P15" s="259"/>
      <c r="Q15" s="259"/>
      <c r="R15" s="259">
        <v>20.9516302861647</v>
      </c>
      <c r="S15" s="259"/>
      <c r="T15" s="259"/>
      <c r="U15" s="259">
        <v>0.296620393456335</v>
      </c>
      <c r="Z15" s="203">
        <v>100.26935483871</v>
      </c>
      <c r="AA15" s="203"/>
      <c r="AB15" s="203">
        <f t="shared" si="0"/>
        <v>78.751749320379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22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42948</v>
      </c>
      <c r="E28" s="686">
        <v>0.21</v>
      </c>
      <c r="F28" s="685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42979</v>
      </c>
      <c r="E29" s="686">
        <v>0.28</v>
      </c>
      <c r="F29" s="685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43009</v>
      </c>
      <c r="E30" s="686">
        <v>0.305</v>
      </c>
      <c r="F30" s="685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43040</v>
      </c>
      <c r="E31" s="686">
        <v>0.16</v>
      </c>
      <c r="F31" s="685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43070</v>
      </c>
      <c r="E32" s="686">
        <v>0.155</v>
      </c>
      <c r="F32" s="685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43101</v>
      </c>
      <c r="E33" s="686">
        <v>0.21</v>
      </c>
      <c r="F33" s="685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43132</v>
      </c>
      <c r="E34" s="686">
        <v>0.21</v>
      </c>
      <c r="F34" s="685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43160</v>
      </c>
      <c r="E35" s="686">
        <v>0.29</v>
      </c>
      <c r="F35" s="685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43191</v>
      </c>
      <c r="E36" s="686">
        <v>0.255</v>
      </c>
      <c r="F36" s="685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43221</v>
      </c>
      <c r="E37" s="686">
        <v>0.195</v>
      </c>
      <c r="F37" s="685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43252</v>
      </c>
      <c r="E38" s="686">
        <v>0.325</v>
      </c>
      <c r="F38" s="685"/>
      <c r="G38" s="199"/>
      <c r="H38" s="191"/>
      <c r="I38" s="191"/>
      <c r="J38" s="191"/>
      <c r="AC38" s="694"/>
    </row>
    <row r="39" spans="1:29">
      <c r="A39" s="673"/>
      <c r="D39" s="682">
        <f t="shared" si="1"/>
        <v>43282</v>
      </c>
      <c r="E39" s="686"/>
      <c r="F39" s="685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Aug</v>
      </c>
      <c r="D49" s="223"/>
      <c r="E49" s="223"/>
      <c r="F49" s="225"/>
      <c r="G49" s="225"/>
      <c r="H49" s="225" t="e">
        <f>E49/J49/F49*100</f>
        <v>#DIV/0!</v>
      </c>
      <c r="I49" s="225" t="e">
        <f>D49/J49/G49*100</f>
        <v>#DIV/0!</v>
      </c>
      <c r="J49">
        <v>744</v>
      </c>
    </row>
    <row r="50" spans="1:10">
      <c r="A50" s="673"/>
      <c r="B50" s="219"/>
      <c r="C50" s="219" t="str">
        <f t="shared" ref="C50:C60" si="2">C5</f>
        <v>Sep</v>
      </c>
      <c r="D50" s="251"/>
      <c r="E50" s="251"/>
      <c r="F50" s="225"/>
      <c r="G50" s="225"/>
      <c r="H50" s="225" t="e">
        <f t="shared" ref="H50:H60" si="3">E50/J50/F50*100</f>
        <v>#DIV/0!</v>
      </c>
      <c r="I50" s="225" t="e">
        <f t="shared" ref="I50:I60" si="4">D50/J50/G50*100</f>
        <v>#DIV/0!</v>
      </c>
      <c r="J50">
        <v>720</v>
      </c>
    </row>
    <row r="51" spans="1:10">
      <c r="A51" s="673"/>
      <c r="B51" s="219"/>
      <c r="C51" s="219" t="str">
        <f t="shared" si="2"/>
        <v>Oct</v>
      </c>
      <c r="D51" s="251"/>
      <c r="E51" s="251"/>
      <c r="F51" s="225"/>
      <c r="G51" s="225"/>
      <c r="H51" s="225" t="e">
        <f t="shared" si="3"/>
        <v>#DIV/0!</v>
      </c>
      <c r="I51" s="225" t="e">
        <f t="shared" si="4"/>
        <v>#DIV/0!</v>
      </c>
      <c r="J51">
        <v>744</v>
      </c>
    </row>
    <row r="52" spans="1:10">
      <c r="A52" s="673"/>
      <c r="B52" s="219"/>
      <c r="C52" s="219" t="str">
        <f t="shared" si="2"/>
        <v>Nov</v>
      </c>
      <c r="D52" s="251"/>
      <c r="E52" s="251"/>
      <c r="F52" s="225"/>
      <c r="G52" s="225"/>
      <c r="H52" s="225" t="e">
        <f t="shared" si="3"/>
        <v>#DIV/0!</v>
      </c>
      <c r="I52" s="225" t="e">
        <f t="shared" si="4"/>
        <v>#DIV/0!</v>
      </c>
      <c r="J52">
        <v>720</v>
      </c>
    </row>
    <row r="53" spans="1:10">
      <c r="A53" s="673"/>
      <c r="B53" s="219"/>
      <c r="C53" s="219" t="str">
        <f t="shared" si="2"/>
        <v>dec</v>
      </c>
      <c r="D53" s="251"/>
      <c r="E53" s="251"/>
      <c r="F53" s="225"/>
      <c r="G53" s="225"/>
      <c r="H53" s="225" t="e">
        <f t="shared" si="3"/>
        <v>#DIV/0!</v>
      </c>
      <c r="I53" s="225" t="e">
        <f t="shared" si="4"/>
        <v>#DIV/0!</v>
      </c>
      <c r="J53">
        <v>744</v>
      </c>
    </row>
    <row r="54" spans="1:10">
      <c r="A54" s="673"/>
      <c r="B54" s="219"/>
      <c r="C54" s="219" t="str">
        <f t="shared" si="2"/>
        <v>Jan</v>
      </c>
      <c r="D54" s="251"/>
      <c r="E54" s="251"/>
      <c r="F54" s="225"/>
      <c r="G54" s="225"/>
      <c r="H54" s="225" t="e">
        <f t="shared" si="3"/>
        <v>#DIV/0!</v>
      </c>
      <c r="I54" s="225" t="e">
        <f t="shared" si="4"/>
        <v>#DIV/0!</v>
      </c>
      <c r="J54">
        <v>744</v>
      </c>
    </row>
    <row r="55" spans="1:10">
      <c r="A55" s="673"/>
      <c r="B55" s="219"/>
      <c r="C55" s="219" t="str">
        <f t="shared" si="2"/>
        <v>Feb</v>
      </c>
      <c r="D55" s="251"/>
      <c r="E55" s="251"/>
      <c r="F55" s="225"/>
      <c r="G55" s="225"/>
      <c r="H55" s="225" t="e">
        <f t="shared" si="3"/>
        <v>#DIV/0!</v>
      </c>
      <c r="I55" s="225" t="e">
        <f t="shared" si="4"/>
        <v>#DIV/0!</v>
      </c>
      <c r="J55">
        <v>672</v>
      </c>
    </row>
    <row r="56" spans="1:10">
      <c r="A56" s="673"/>
      <c r="B56" s="219"/>
      <c r="C56" s="219" t="str">
        <f t="shared" si="2"/>
        <v>mar</v>
      </c>
      <c r="D56" s="251"/>
      <c r="E56" s="251"/>
      <c r="F56" s="225"/>
      <c r="G56" s="225"/>
      <c r="H56" s="225" t="e">
        <f t="shared" si="3"/>
        <v>#DIV/0!</v>
      </c>
      <c r="I56" s="225" t="e">
        <f t="shared" si="4"/>
        <v>#DIV/0!</v>
      </c>
      <c r="J56">
        <v>744</v>
      </c>
    </row>
    <row r="57" spans="1:10">
      <c r="A57" s="673"/>
      <c r="B57" s="219"/>
      <c r="C57" s="219" t="str">
        <f t="shared" si="2"/>
        <v>apr</v>
      </c>
      <c r="D57" s="251"/>
      <c r="E57" s="251"/>
      <c r="F57" s="225"/>
      <c r="G57" s="225"/>
      <c r="H57" s="225" t="e">
        <f t="shared" si="3"/>
        <v>#DIV/0!</v>
      </c>
      <c r="I57" s="225" t="e">
        <f t="shared" si="4"/>
        <v>#DIV/0!</v>
      </c>
      <c r="J57">
        <v>720</v>
      </c>
    </row>
    <row r="58" spans="1:10">
      <c r="A58" s="673"/>
      <c r="B58" s="219"/>
      <c r="C58" s="219" t="str">
        <f t="shared" si="2"/>
        <v>May</v>
      </c>
      <c r="D58" s="251"/>
      <c r="E58" s="251"/>
      <c r="F58" s="225"/>
      <c r="G58" s="225"/>
      <c r="H58" s="225" t="e">
        <f t="shared" si="3"/>
        <v>#DIV/0!</v>
      </c>
      <c r="I58" s="225" t="e">
        <f t="shared" si="4"/>
        <v>#DIV/0!</v>
      </c>
      <c r="J58">
        <v>744</v>
      </c>
    </row>
    <row r="59" spans="1:10">
      <c r="A59" s="673"/>
      <c r="B59" s="219"/>
      <c r="C59" s="219" t="str">
        <f t="shared" si="2"/>
        <v>June</v>
      </c>
      <c r="D59" s="251"/>
      <c r="E59" s="251"/>
      <c r="F59" s="225"/>
      <c r="G59" s="225"/>
      <c r="H59" s="225" t="e">
        <f t="shared" si="3"/>
        <v>#DIV/0!</v>
      </c>
      <c r="I59" s="225" t="e">
        <f t="shared" si="4"/>
        <v>#DIV/0!</v>
      </c>
      <c r="J59">
        <v>720</v>
      </c>
    </row>
    <row r="60" spans="1:10">
      <c r="A60" s="673"/>
      <c r="B60" s="228"/>
      <c r="C60" s="224" t="str">
        <f t="shared" si="2"/>
        <v>July</v>
      </c>
      <c r="D60" s="252"/>
      <c r="E60" s="252"/>
      <c r="F60" s="225"/>
      <c r="G60" s="225"/>
      <c r="H60" s="225" t="e">
        <f t="shared" si="3"/>
        <v>#DIV/0!</v>
      </c>
      <c r="I60" s="225" t="e">
        <f t="shared" si="4"/>
        <v>#DIV/0!</v>
      </c>
      <c r="J60">
        <v>744</v>
      </c>
    </row>
    <row r="61" spans="1:12">
      <c r="A61" s="673"/>
      <c r="D61" s="251"/>
      <c r="E61" s="684">
        <f>SUM(E49:E60)/8760</f>
        <v>0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/>
  </sheetPr>
  <dimension ref="A1:P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8365384615385" customWidth="1"/>
    <col min="11" max="11" width="8.5" customWidth="1"/>
    <col min="12" max="12" width="7.16346153846154" customWidth="1"/>
    <col min="13" max="13" width="18.5" customWidth="1"/>
    <col min="14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754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0</v>
      </c>
      <c r="G3" s="22"/>
      <c r="H3" s="23" t="s">
        <v>187</v>
      </c>
      <c r="I3" s="5" t="s">
        <v>567</v>
      </c>
      <c r="J3" s="35">
        <v>17038601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20">
        <v>0</v>
      </c>
      <c r="G4" s="220"/>
      <c r="H4" s="25" t="s">
        <v>187</v>
      </c>
      <c r="I4" s="7" t="s">
        <v>191</v>
      </c>
      <c r="J4" s="37">
        <v>10719584.2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5">
      <c r="A6" s="1"/>
      <c r="B6" s="11"/>
      <c r="C6" s="1" t="s">
        <v>194</v>
      </c>
      <c r="D6" s="1"/>
      <c r="E6" s="1"/>
      <c r="F6" s="1"/>
      <c r="G6" s="26">
        <v>0</v>
      </c>
      <c r="H6" s="27" t="s">
        <v>195</v>
      </c>
      <c r="I6" s="1"/>
      <c r="J6" s="40">
        <v>0</v>
      </c>
      <c r="K6" s="41" t="s">
        <v>196</v>
      </c>
      <c r="L6" s="1"/>
      <c r="O6" t="s">
        <v>77</v>
      </c>
    </row>
    <row r="7" ht="21.75" customHeight="1" spans="1:15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  <c r="O7" t="s">
        <v>77</v>
      </c>
    </row>
    <row r="8" ht="21.75" customHeight="1" spans="1:12">
      <c r="A8" s="1"/>
      <c r="B8" s="11"/>
      <c r="C8" s="1" t="s">
        <v>765</v>
      </c>
      <c r="D8" s="1"/>
      <c r="E8" s="1"/>
      <c r="F8" s="1"/>
      <c r="G8" s="26">
        <v>100</v>
      </c>
      <c r="H8" s="27" t="s">
        <v>195</v>
      </c>
      <c r="I8" s="1"/>
      <c r="J8" s="40">
        <v>3712208.6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3712208.6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41.2309351078449</v>
      </c>
      <c r="H11" s="27" t="s">
        <v>195</v>
      </c>
      <c r="I11" s="1"/>
      <c r="J11" s="40">
        <v>1523394.08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34.28</v>
      </c>
      <c r="F13" s="15" t="s">
        <v>204</v>
      </c>
      <c r="G13" s="31"/>
      <c r="H13" s="15"/>
      <c r="I13" s="15"/>
      <c r="J13" s="45">
        <v>1454922.92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32">
        <v>24.94</v>
      </c>
      <c r="F14" s="15" t="s">
        <v>204</v>
      </c>
      <c r="G14" s="31"/>
      <c r="H14" s="15"/>
      <c r="I14" s="15"/>
      <c r="J14" s="45">
        <v>1454922.92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36.7697160805567</v>
      </c>
      <c r="F15" s="15" t="s">
        <v>204</v>
      </c>
      <c r="G15" s="31"/>
      <c r="H15" s="15"/>
      <c r="I15" s="15"/>
      <c r="J15" s="45">
        <v>597029.88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3.70116445853275</v>
      </c>
      <c r="H16" s="27" t="s">
        <v>195</v>
      </c>
      <c r="I16" s="1"/>
      <c r="J16" s="40">
        <v>136750.04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4.66394057692479</v>
      </c>
      <c r="H17" s="27" t="s">
        <v>195</v>
      </c>
      <c r="I17" s="1"/>
      <c r="J17" s="40">
        <v>172322.54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19.5216431868426</v>
      </c>
      <c r="H18" s="27" t="s">
        <v>195</v>
      </c>
      <c r="I18" s="1"/>
      <c r="J18" s="40">
        <v>721282.59</v>
      </c>
      <c r="K18" s="41" t="s">
        <v>196</v>
      </c>
      <c r="L18" s="1"/>
    </row>
    <row r="19" ht="21.75" customHeight="1" spans="1:12">
      <c r="A19" s="1"/>
      <c r="B19" s="11"/>
      <c r="C19" s="1" t="s">
        <v>346</v>
      </c>
      <c r="D19" s="1"/>
      <c r="E19" s="1"/>
      <c r="F19" s="1"/>
      <c r="G19" s="26">
        <v>30.882316669855</v>
      </c>
      <c r="H19" s="27" t="s">
        <v>195</v>
      </c>
      <c r="I19" s="1"/>
      <c r="J19" s="40">
        <v>1141034.96</v>
      </c>
      <c r="K19" s="41" t="s">
        <v>196</v>
      </c>
      <c r="L19" s="1"/>
    </row>
    <row r="20" ht="21.75" customHeight="1" spans="1:16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  <c r="P20" s="706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457944.02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12217.32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23295.37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14618.5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24957.48</v>
      </c>
      <c r="K26" s="44" t="s">
        <v>196</v>
      </c>
      <c r="L26" s="15"/>
    </row>
    <row r="27" ht="21.75" customHeight="1" spans="1:15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  <c r="O27" t="s">
        <v>77</v>
      </c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58237.95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290781.18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215387.15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3694784.21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21.7870504743905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21.684786268544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0.102264205846478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17424.3900000001</v>
      </c>
      <c r="K37" s="43" t="s">
        <v>196</v>
      </c>
      <c r="L37" s="12"/>
    </row>
    <row r="38" ht="21.75" customHeight="1" spans="1:12">
      <c r="A38" s="1"/>
      <c r="B38" s="19" t="s">
        <v>766</v>
      </c>
      <c r="C38" s="19"/>
      <c r="D38" s="19"/>
      <c r="E38" s="19"/>
      <c r="F38" s="19"/>
      <c r="G38" s="19"/>
      <c r="H38" s="19"/>
      <c r="I38" s="19"/>
      <c r="J38" s="19"/>
      <c r="K38" s="19"/>
      <c r="L38" s="1"/>
    </row>
    <row r="39" ht="21.75" customHeight="1" spans="1:12">
      <c r="A39" s="19"/>
      <c r="B39" s="1" t="s">
        <v>767</v>
      </c>
      <c r="C39" s="1"/>
      <c r="D39" s="1"/>
      <c r="E39" s="1"/>
      <c r="F39" s="1"/>
      <c r="G39" s="1"/>
      <c r="H39" s="1"/>
      <c r="I39" s="1"/>
      <c r="J39" s="1"/>
      <c r="K39" s="1"/>
      <c r="L39" s="19"/>
    </row>
    <row r="40" ht="21.75" customHeight="1" spans="1:12">
      <c r="A40" s="19"/>
      <c r="B40" s="1" t="s">
        <v>768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 spans="1:1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</row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T61"/>
  <sheetViews>
    <sheetView zoomScale="115" zoomScaleNormal="115" workbookViewId="0">
      <selection activeCell="A1" sqref="A1:A18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769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770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771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741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246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280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281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772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/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/>
      <c r="F14" s="78"/>
      <c r="G14" s="68"/>
      <c r="H14" s="64"/>
      <c r="I14" s="57" t="s">
        <v>248</v>
      </c>
      <c r="J14" s="64"/>
      <c r="K14" s="161">
        <v>11305.49546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2830</v>
      </c>
      <c r="E15" s="69"/>
      <c r="F15" s="69"/>
      <c r="G15" s="69"/>
      <c r="H15" s="98">
        <f>D15+E15+F15</f>
        <v>2830</v>
      </c>
      <c r="I15" s="57" t="s">
        <v>249</v>
      </c>
      <c r="J15" s="64"/>
      <c r="K15" s="701">
        <v>30.9739601643836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2500</v>
      </c>
      <c r="E16" s="69"/>
      <c r="F16" s="69"/>
      <c r="G16" s="69"/>
      <c r="H16" s="98">
        <f>D16+E16+F16</f>
        <v>2500</v>
      </c>
      <c r="I16" s="56" t="s">
        <v>437</v>
      </c>
      <c r="J16" s="56"/>
      <c r="K16" s="701">
        <v>10.4200109952545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/>
      <c r="F17" s="70"/>
      <c r="G17" s="70"/>
      <c r="H17" s="98"/>
      <c r="I17" s="56" t="s">
        <v>58</v>
      </c>
      <c r="J17" s="56"/>
      <c r="K17" s="701">
        <v>64.8383778131206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1240</v>
      </c>
      <c r="E18" s="71"/>
      <c r="F18" s="71"/>
      <c r="G18" s="71"/>
      <c r="H18" s="98">
        <f>D18+E18+F18</f>
        <v>1240</v>
      </c>
      <c r="I18" s="56" t="s">
        <v>67</v>
      </c>
      <c r="J18" s="56"/>
      <c r="K18" s="701">
        <v>3.18100600962074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773</v>
      </c>
      <c r="J19" s="56"/>
      <c r="K19" s="701">
        <v>21.5549619087636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/>
      <c r="J20" s="56"/>
      <c r="K20" s="702"/>
      <c r="L20" s="123"/>
      <c r="M20" s="178"/>
    </row>
    <row r="21" ht="15" customHeight="1" spans="1:13">
      <c r="A21" s="157"/>
      <c r="B21" s="66" t="s">
        <v>71</v>
      </c>
      <c r="C21" s="64" t="s">
        <v>59</v>
      </c>
      <c r="D21" s="75">
        <v>9.47</v>
      </c>
      <c r="E21" s="75"/>
      <c r="F21" s="77"/>
      <c r="G21" s="77"/>
      <c r="H21" s="102"/>
      <c r="I21" s="56"/>
      <c r="J21" s="56"/>
      <c r="K21" s="702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78.88</v>
      </c>
      <c r="E22" s="75"/>
      <c r="F22" s="77"/>
      <c r="G22" s="77"/>
      <c r="H22" s="102"/>
      <c r="I22" s="56"/>
      <c r="J22" s="56"/>
      <c r="K22" s="702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774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775</v>
      </c>
      <c r="I24" s="127" t="s">
        <v>80</v>
      </c>
      <c r="J24" s="56"/>
      <c r="K24" s="122">
        <v>31.8167104276567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699" t="s">
        <v>776</v>
      </c>
      <c r="I25" s="128" t="s">
        <v>83</v>
      </c>
      <c r="J25" s="56"/>
      <c r="K25" s="122">
        <v>93.3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777</v>
      </c>
      <c r="I26" s="57" t="s">
        <v>86</v>
      </c>
      <c r="J26" s="56"/>
      <c r="K26" s="122">
        <v>73.0098097617332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255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778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7.86</v>
      </c>
      <c r="E29" s="75"/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42.3</v>
      </c>
      <c r="E30" s="77"/>
      <c r="F30" s="77"/>
      <c r="G30" s="77"/>
      <c r="H30" s="78"/>
      <c r="I30" s="66" t="s">
        <v>96</v>
      </c>
      <c r="J30" s="92"/>
      <c r="K30" s="135">
        <v>4500</v>
      </c>
      <c r="L30" s="120" t="s">
        <v>55</v>
      </c>
    </row>
    <row r="31" ht="15" customHeight="1" spans="1:16">
      <c r="A31" s="157"/>
      <c r="B31" s="66" t="s">
        <v>97</v>
      </c>
      <c r="C31" s="64" t="s">
        <v>98</v>
      </c>
      <c r="D31" s="75">
        <v>3.26</v>
      </c>
      <c r="E31" s="75"/>
      <c r="F31" s="75"/>
      <c r="G31" s="80"/>
      <c r="H31" s="78"/>
      <c r="I31" s="66" t="s">
        <v>99</v>
      </c>
      <c r="J31" s="92"/>
      <c r="K31" s="135">
        <v>0</v>
      </c>
      <c r="L31" s="120" t="s">
        <v>55</v>
      </c>
      <c r="N31"/>
      <c r="O31"/>
      <c r="P31"/>
    </row>
    <row r="32" ht="15" customHeight="1" spans="1:16">
      <c r="A32" s="157"/>
      <c r="B32" s="66" t="s">
        <v>100</v>
      </c>
      <c r="C32" s="64" t="s">
        <v>98</v>
      </c>
      <c r="D32" s="75">
        <v>5.51</v>
      </c>
      <c r="E32" s="75"/>
      <c r="F32" s="75"/>
      <c r="G32" s="80"/>
      <c r="H32" s="78"/>
      <c r="I32" s="66" t="s">
        <v>66</v>
      </c>
      <c r="J32" s="92"/>
      <c r="K32" s="135">
        <v>2800</v>
      </c>
      <c r="L32" s="120" t="s">
        <v>55</v>
      </c>
      <c r="N32"/>
      <c r="O32"/>
      <c r="P32"/>
    </row>
    <row r="33" ht="15" customHeight="1" spans="1:16">
      <c r="A33" s="157"/>
      <c r="B33" s="66" t="s">
        <v>101</v>
      </c>
      <c r="C33" s="64" t="s">
        <v>102</v>
      </c>
      <c r="D33" s="77">
        <v>189</v>
      </c>
      <c r="E33" s="77"/>
      <c r="F33" s="80"/>
      <c r="G33" s="80"/>
      <c r="H33" s="78"/>
      <c r="I33" s="57" t="s">
        <v>103</v>
      </c>
      <c r="J33" s="64"/>
      <c r="K33" s="136">
        <v>6.7</v>
      </c>
      <c r="L33" s="120" t="s">
        <v>59</v>
      </c>
      <c r="N33"/>
      <c r="O33"/>
      <c r="P33"/>
    </row>
    <row r="34" ht="15" customHeight="1" spans="1:16">
      <c r="A34" s="157"/>
      <c r="B34" s="66" t="s">
        <v>104</v>
      </c>
      <c r="C34" s="64" t="s">
        <v>62</v>
      </c>
      <c r="D34" s="80">
        <v>0.15</v>
      </c>
      <c r="E34" s="80"/>
      <c r="F34" s="80"/>
      <c r="G34" s="80"/>
      <c r="H34" s="78"/>
      <c r="I34" s="66" t="s">
        <v>105</v>
      </c>
      <c r="J34" s="64"/>
      <c r="K34" s="137">
        <v>7.28901244344614</v>
      </c>
      <c r="L34" s="120" t="s">
        <v>59</v>
      </c>
      <c r="N34"/>
      <c r="O34"/>
      <c r="P34"/>
    </row>
    <row r="35" ht="15" customHeight="1" spans="1:16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76.9502642312049</v>
      </c>
      <c r="L35" s="120" t="s">
        <v>59</v>
      </c>
      <c r="N35"/>
      <c r="O35"/>
      <c r="P35"/>
    </row>
    <row r="36" ht="15" customHeight="1" spans="1:16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  <c r="N36"/>
      <c r="O36"/>
      <c r="P36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91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50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52.52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145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705">
        <v>0.365</v>
      </c>
    </row>
    <row r="43" ht="15" customHeight="1" spans="1:12">
      <c r="A43" s="157"/>
      <c r="B43" s="66" t="s">
        <v>121</v>
      </c>
      <c r="C43" s="64" t="s">
        <v>122</v>
      </c>
      <c r="D43" s="77">
        <v>537</v>
      </c>
      <c r="E43" s="77">
        <v>160</v>
      </c>
      <c r="F43" s="77"/>
      <c r="G43" s="78"/>
      <c r="H43" s="102"/>
      <c r="I43" s="66"/>
      <c r="J43" s="64" t="s">
        <v>123</v>
      </c>
      <c r="K43" s="144" t="s">
        <v>124</v>
      </c>
      <c r="L43" s="147">
        <v>6.48</v>
      </c>
    </row>
    <row r="44" ht="15" customHeight="1" spans="1:17">
      <c r="A44" s="157"/>
      <c r="B44" s="66" t="s">
        <v>125</v>
      </c>
      <c r="C44" s="64" t="s">
        <v>122</v>
      </c>
      <c r="D44" s="77">
        <v>568</v>
      </c>
      <c r="E44" s="77">
        <v>220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38</v>
      </c>
      <c r="E45" s="75">
        <v>36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40.2</v>
      </c>
      <c r="E46" s="78">
        <v>49.6</v>
      </c>
      <c r="F46" s="78"/>
      <c r="G46" s="78"/>
      <c r="H46" s="102"/>
      <c r="I46" s="66"/>
      <c r="J46" s="64" t="s">
        <v>131</v>
      </c>
      <c r="K46" s="79">
        <v>224.485694499584</v>
      </c>
      <c r="L46" s="147">
        <v>117.66098275033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318</v>
      </c>
      <c r="F47" s="70"/>
      <c r="G47" s="70"/>
      <c r="H47" s="70"/>
      <c r="I47" s="66"/>
      <c r="J47" s="64" t="s">
        <v>134</v>
      </c>
      <c r="K47" s="79">
        <v>775.810695440282</v>
      </c>
      <c r="L47" s="147">
        <v>406.630137645094</v>
      </c>
    </row>
    <row r="48" ht="15" customHeight="1" spans="1:13">
      <c r="A48" s="157"/>
      <c r="B48" s="66" t="s">
        <v>135</v>
      </c>
      <c r="C48" s="64" t="s">
        <v>240</v>
      </c>
      <c r="D48" s="69">
        <v>8567</v>
      </c>
      <c r="E48" s="69">
        <v>2961</v>
      </c>
      <c r="F48" s="78"/>
      <c r="G48" s="78"/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4135080/D43</f>
        <v>7700.33519553073</v>
      </c>
      <c r="E49" s="69">
        <f>435394/E43</f>
        <v>2721.2125</v>
      </c>
      <c r="F49" s="77"/>
      <c r="G49" s="69"/>
      <c r="H49" s="98"/>
      <c r="I49" s="66"/>
      <c r="J49" s="64" t="s">
        <v>139</v>
      </c>
      <c r="K49" s="150">
        <f>4507296/365</f>
        <v>12348.7561643836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f>D49/8760*100</f>
        <v>87.9033698119946</v>
      </c>
      <c r="E50" s="77">
        <f>E49/8760*100</f>
        <v>31.0640696347032</v>
      </c>
      <c r="F50" s="77"/>
      <c r="G50" s="77"/>
      <c r="H50" s="77"/>
      <c r="I50" s="66"/>
      <c r="J50" s="64" t="s">
        <v>141</v>
      </c>
      <c r="K50" s="150">
        <f>K49/K15</f>
        <v>398.681863696047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553464</v>
      </c>
      <c r="D55" s="69">
        <f>C55/(D49*D43+E49*E43+F49*F43+G49*G43+H49*H43)*100</f>
        <v>12.1095536261666</v>
      </c>
      <c r="E55" s="111" t="s">
        <v>147</v>
      </c>
      <c r="F55" s="64"/>
      <c r="G55" s="64" t="s">
        <v>148</v>
      </c>
      <c r="H55" s="64"/>
      <c r="I55" s="69" t="s">
        <v>117</v>
      </c>
      <c r="J55" s="69" t="s">
        <v>117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274</v>
      </c>
      <c r="H56" s="64"/>
      <c r="I56" s="69">
        <v>2656402</v>
      </c>
      <c r="J56" s="69">
        <f>I56/(D49*D44+E49*E44+F49*F44+G49*G44+H49*H44)*100</f>
        <v>53.4223206885791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AJ66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773</v>
      </c>
      <c r="F2" t="s">
        <v>58</v>
      </c>
      <c r="G2" t="s">
        <v>156</v>
      </c>
      <c r="H2" t="s">
        <v>68</v>
      </c>
      <c r="I2" t="s">
        <v>157</v>
      </c>
      <c r="J2" t="s">
        <v>321</v>
      </c>
      <c r="K2" t="s">
        <v>159</v>
      </c>
      <c r="L2" t="s">
        <v>159</v>
      </c>
      <c r="M2" t="s">
        <v>159</v>
      </c>
      <c r="N2" t="s">
        <v>159</v>
      </c>
      <c r="O2" t="s">
        <v>159</v>
      </c>
      <c r="P2" t="s">
        <v>437</v>
      </c>
      <c r="Q2" t="s">
        <v>161</v>
      </c>
      <c r="R2" t="s">
        <v>67</v>
      </c>
      <c r="S2" t="s">
        <v>162</v>
      </c>
      <c r="T2" t="s">
        <v>163</v>
      </c>
      <c r="U2" t="s">
        <v>322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42948</v>
      </c>
      <c r="C4" s="219" t="s">
        <v>176</v>
      </c>
      <c r="D4" s="674"/>
      <c r="E4" s="674">
        <v>20.9544391315496</v>
      </c>
      <c r="F4" s="674">
        <v>54.5523619140442</v>
      </c>
      <c r="G4" s="674"/>
      <c r="H4" s="674"/>
      <c r="I4" s="674"/>
      <c r="J4" s="674"/>
      <c r="K4" s="674"/>
      <c r="L4" s="674"/>
      <c r="M4" s="674"/>
      <c r="N4" s="674"/>
      <c r="O4" s="674"/>
      <c r="P4" s="674">
        <v>11.5499368771812</v>
      </c>
      <c r="Q4" s="674"/>
      <c r="R4" s="674">
        <v>12.9350961239486</v>
      </c>
      <c r="S4" s="674"/>
      <c r="T4" s="674"/>
      <c r="U4" s="674"/>
      <c r="Y4" s="219"/>
      <c r="Z4" s="203">
        <v>33.3801377419355</v>
      </c>
      <c r="AA4" s="203"/>
      <c r="AB4" s="203">
        <f>SUM(D4:O4)</f>
        <v>75.5068010455938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42979</v>
      </c>
      <c r="C5" s="219" t="s">
        <v>177</v>
      </c>
      <c r="D5" s="203"/>
      <c r="E5" s="203">
        <v>15.2109892100258</v>
      </c>
      <c r="F5" s="203">
        <v>54.9684674456728</v>
      </c>
      <c r="G5" s="203"/>
      <c r="H5" s="203"/>
      <c r="I5" s="203"/>
      <c r="J5" s="203"/>
      <c r="K5" s="203"/>
      <c r="L5" s="203"/>
      <c r="M5" s="203"/>
      <c r="N5" s="203"/>
      <c r="O5" s="203"/>
      <c r="P5" s="203">
        <v>16.1467152987685</v>
      </c>
      <c r="Q5" s="203"/>
      <c r="R5" s="203">
        <v>13.6659531100089</v>
      </c>
      <c r="S5" s="203"/>
      <c r="T5" s="203"/>
      <c r="U5" s="203"/>
      <c r="Y5" s="219"/>
      <c r="Z5" s="203">
        <v>33.0161433333333</v>
      </c>
      <c r="AA5" s="203"/>
      <c r="AB5" s="203">
        <f t="shared" ref="AB5:AB15" si="0">SUM(D5:O5)</f>
        <v>70.1794566556986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43009</v>
      </c>
      <c r="C6" s="219" t="s">
        <v>779</v>
      </c>
      <c r="D6" s="203"/>
      <c r="E6" s="203">
        <v>17.4054213114905</v>
      </c>
      <c r="F6" s="203">
        <v>59.4503921670597</v>
      </c>
      <c r="G6" s="203"/>
      <c r="H6" s="203"/>
      <c r="I6" s="203"/>
      <c r="J6" s="203"/>
      <c r="K6" s="203"/>
      <c r="L6" s="203"/>
      <c r="M6" s="203"/>
      <c r="N6" s="203"/>
      <c r="O6" s="203"/>
      <c r="P6" s="203">
        <v>14.5552835717339</v>
      </c>
      <c r="Q6" s="203"/>
      <c r="R6" s="203">
        <v>8.58304838422876</v>
      </c>
      <c r="S6" s="203"/>
      <c r="T6" s="203"/>
      <c r="U6" s="203"/>
      <c r="Y6" s="219"/>
      <c r="Z6" s="203">
        <v>31.9574141935484</v>
      </c>
      <c r="AA6" s="203"/>
      <c r="AB6" s="203">
        <f t="shared" si="0"/>
        <v>76.8558134785502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43040</v>
      </c>
      <c r="C7" s="219" t="s">
        <v>167</v>
      </c>
      <c r="D7" s="203"/>
      <c r="E7" s="203">
        <v>21.6281095936465</v>
      </c>
      <c r="F7" s="203">
        <v>67.1865521557807</v>
      </c>
      <c r="G7" s="203"/>
      <c r="H7" s="203"/>
      <c r="I7" s="203"/>
      <c r="J7" s="203"/>
      <c r="K7" s="203"/>
      <c r="L7" s="203"/>
      <c r="M7" s="203"/>
      <c r="N7" s="203"/>
      <c r="O7" s="203"/>
      <c r="P7" s="203">
        <v>10.5390670048283</v>
      </c>
      <c r="Q7" s="203"/>
      <c r="R7" s="203">
        <v>0.639506493011429</v>
      </c>
      <c r="S7" s="203"/>
      <c r="T7" s="203"/>
      <c r="U7" s="203"/>
      <c r="Y7" s="219"/>
      <c r="Z7" s="203">
        <v>28.086762</v>
      </c>
      <c r="AA7" s="203"/>
      <c r="AB7" s="203">
        <f t="shared" si="0"/>
        <v>88.8146617494272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43070</v>
      </c>
      <c r="C8" s="219" t="s">
        <v>780</v>
      </c>
      <c r="D8" s="203"/>
      <c r="E8" s="203">
        <v>20.2553559865696</v>
      </c>
      <c r="F8" s="203">
        <v>68.0455170592746</v>
      </c>
      <c r="G8" s="203"/>
      <c r="H8" s="203"/>
      <c r="I8" s="203"/>
      <c r="J8" s="203"/>
      <c r="K8" s="203"/>
      <c r="L8" s="203"/>
      <c r="M8" s="203"/>
      <c r="N8" s="203"/>
      <c r="O8" s="203"/>
      <c r="P8" s="203">
        <v>11.693337283747</v>
      </c>
      <c r="Q8" s="203"/>
      <c r="R8" s="203">
        <v>0</v>
      </c>
      <c r="S8" s="203"/>
      <c r="T8" s="203"/>
      <c r="U8" s="203"/>
      <c r="Y8" s="219"/>
      <c r="Z8" s="203">
        <v>30.0869541935484</v>
      </c>
      <c r="AA8" s="203"/>
      <c r="AB8" s="203">
        <f t="shared" si="0"/>
        <v>88.3008730458442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43101</v>
      </c>
      <c r="C9" s="219" t="s">
        <v>169</v>
      </c>
      <c r="D9" s="203"/>
      <c r="E9" s="203">
        <v>21.0294333792193</v>
      </c>
      <c r="F9" s="203">
        <v>67.203002278524</v>
      </c>
      <c r="G9" s="203"/>
      <c r="H9" s="203"/>
      <c r="I9" s="203"/>
      <c r="J9" s="203"/>
      <c r="K9" s="203"/>
      <c r="L9" s="203"/>
      <c r="M9" s="203"/>
      <c r="N9" s="203"/>
      <c r="O9" s="203"/>
      <c r="P9" s="203">
        <v>11.7628050121161</v>
      </c>
      <c r="Q9" s="203"/>
      <c r="R9" s="203">
        <v>0</v>
      </c>
      <c r="S9" s="203"/>
      <c r="T9" s="203"/>
      <c r="U9" s="203"/>
      <c r="Y9" s="219"/>
      <c r="Z9" s="203">
        <v>30.5003616129032</v>
      </c>
      <c r="AA9" s="203"/>
      <c r="AB9" s="203">
        <f t="shared" si="0"/>
        <v>88.2324356577433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43132</v>
      </c>
      <c r="C10" s="219" t="s">
        <v>170</v>
      </c>
      <c r="D10" s="203"/>
      <c r="E10" s="203">
        <v>21.561212012843</v>
      </c>
      <c r="F10" s="203">
        <v>67.3924530970438</v>
      </c>
      <c r="G10" s="203"/>
      <c r="H10" s="203"/>
      <c r="I10" s="203"/>
      <c r="J10" s="203"/>
      <c r="K10" s="203"/>
      <c r="L10" s="203"/>
      <c r="M10" s="203"/>
      <c r="N10" s="203"/>
      <c r="O10" s="203"/>
      <c r="P10" s="203">
        <v>11.0417699829151</v>
      </c>
      <c r="Q10" s="203"/>
      <c r="R10" s="203">
        <v>0</v>
      </c>
      <c r="S10" s="203"/>
      <c r="T10" s="203"/>
      <c r="U10" s="203"/>
      <c r="Y10" s="219"/>
      <c r="Z10" s="203">
        <v>31.6858264285714</v>
      </c>
      <c r="AA10" s="203"/>
      <c r="AB10" s="203">
        <f t="shared" si="0"/>
        <v>88.9536651098868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43160</v>
      </c>
      <c r="C11" s="219" t="s">
        <v>781</v>
      </c>
      <c r="D11" s="203"/>
      <c r="E11" s="203">
        <v>22.7475327996547</v>
      </c>
      <c r="F11" s="203">
        <v>68.2425983989642</v>
      </c>
      <c r="G11" s="203"/>
      <c r="H11" s="203"/>
      <c r="I11" s="203"/>
      <c r="J11" s="203"/>
      <c r="K11" s="203"/>
      <c r="L11" s="203"/>
      <c r="M11" s="203"/>
      <c r="N11" s="203"/>
      <c r="O11" s="203"/>
      <c r="P11" s="203">
        <v>9.00542066178001</v>
      </c>
      <c r="Q11" s="203"/>
      <c r="R11" s="203">
        <v>0</v>
      </c>
      <c r="S11" s="203"/>
      <c r="T11" s="203"/>
      <c r="U11" s="203"/>
      <c r="Y11" s="219"/>
      <c r="Z11" s="203">
        <v>30.4585474193548</v>
      </c>
      <c r="AA11" s="203"/>
      <c r="AB11" s="203">
        <f t="shared" si="0"/>
        <v>90.9901311986189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43191</v>
      </c>
      <c r="C12" s="219" t="s">
        <v>172</v>
      </c>
      <c r="D12" s="203"/>
      <c r="E12" s="203">
        <v>27.5172069070491</v>
      </c>
      <c r="F12" s="203">
        <v>69.2217863693303</v>
      </c>
      <c r="G12" s="203"/>
      <c r="H12" s="203"/>
      <c r="I12" s="203"/>
      <c r="J12" s="203"/>
      <c r="K12" s="203"/>
      <c r="L12" s="203"/>
      <c r="M12" s="203"/>
      <c r="N12" s="203"/>
      <c r="O12" s="203"/>
      <c r="P12" s="203">
        <v>3.25647419018333</v>
      </c>
      <c r="Q12" s="203"/>
      <c r="R12" s="203">
        <v>0</v>
      </c>
      <c r="S12" s="203"/>
      <c r="T12" s="203"/>
      <c r="U12" s="203"/>
      <c r="Y12" s="219"/>
      <c r="Z12" s="203">
        <v>33.0940746666667</v>
      </c>
      <c r="AA12" s="203"/>
      <c r="AB12" s="203">
        <f t="shared" si="0"/>
        <v>96.7389932763795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43221</v>
      </c>
      <c r="C13" s="219" t="s">
        <v>782</v>
      </c>
      <c r="D13" s="203"/>
      <c r="E13" s="203">
        <v>21.9700168859632</v>
      </c>
      <c r="F13" s="203">
        <v>67.7599169445454</v>
      </c>
      <c r="G13" s="203"/>
      <c r="H13" s="203"/>
      <c r="I13" s="203"/>
      <c r="J13" s="203"/>
      <c r="K13" s="203"/>
      <c r="L13" s="203"/>
      <c r="M13" s="203"/>
      <c r="N13" s="203"/>
      <c r="O13" s="203"/>
      <c r="P13" s="203">
        <v>10.2656159981709</v>
      </c>
      <c r="Q13" s="203"/>
      <c r="R13" s="203">
        <v>0</v>
      </c>
      <c r="S13" s="203"/>
      <c r="T13" s="203"/>
      <c r="U13" s="203"/>
      <c r="Y13" s="219"/>
      <c r="Z13" s="203">
        <v>30.4446416129032</v>
      </c>
      <c r="AA13" s="203"/>
      <c r="AB13" s="203">
        <f t="shared" si="0"/>
        <v>89.7299338305086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43252</v>
      </c>
      <c r="C14" s="219" t="s">
        <v>174</v>
      </c>
      <c r="D14" s="203"/>
      <c r="E14" s="203">
        <v>25.3090228253799</v>
      </c>
      <c r="F14" s="203">
        <v>69.2864629633852</v>
      </c>
      <c r="G14" s="203"/>
      <c r="H14" s="203"/>
      <c r="I14" s="203"/>
      <c r="J14" s="203"/>
      <c r="K14" s="203"/>
      <c r="L14" s="203"/>
      <c r="M14" s="203"/>
      <c r="N14" s="203"/>
      <c r="O14" s="203"/>
      <c r="P14" s="203">
        <v>5.39925820274771</v>
      </c>
      <c r="Q14" s="203"/>
      <c r="R14" s="203">
        <v>0</v>
      </c>
      <c r="S14" s="203"/>
      <c r="T14" s="203"/>
      <c r="U14" s="203"/>
      <c r="Y14" s="219"/>
      <c r="Z14" s="203">
        <v>29.8071563333333</v>
      </c>
      <c r="AA14" s="203"/>
      <c r="AB14" s="203">
        <f t="shared" si="0"/>
        <v>94.5954857887651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43282</v>
      </c>
      <c r="C15" s="219" t="s">
        <v>175</v>
      </c>
      <c r="D15" s="259"/>
      <c r="E15" s="259">
        <v>23.6107646160727</v>
      </c>
      <c r="F15" s="259">
        <v>67.0279410399887</v>
      </c>
      <c r="G15" s="259"/>
      <c r="H15" s="259"/>
      <c r="I15" s="259"/>
      <c r="J15" s="259"/>
      <c r="K15" s="259"/>
      <c r="L15" s="259"/>
      <c r="M15" s="259"/>
      <c r="N15" s="259"/>
      <c r="O15" s="259"/>
      <c r="P15" s="259">
        <v>9.35633018773876</v>
      </c>
      <c r="Q15" s="259"/>
      <c r="R15" s="259">
        <v>0</v>
      </c>
      <c r="S15" s="259"/>
      <c r="T15" s="259"/>
      <c r="U15" s="259"/>
      <c r="Z15" s="203">
        <v>29.2418861290323</v>
      </c>
      <c r="AA15" s="203"/>
      <c r="AB15" s="203">
        <f t="shared" si="0"/>
        <v>90.6387056560614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259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42948</v>
      </c>
      <c r="E28" s="686">
        <v>0.145</v>
      </c>
      <c r="F28" s="685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42979</v>
      </c>
      <c r="E29" s="686">
        <v>0.18</v>
      </c>
      <c r="F29" s="685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43009</v>
      </c>
      <c r="E30" s="686">
        <v>0.185</v>
      </c>
      <c r="F30" s="685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43040</v>
      </c>
      <c r="E31" s="686">
        <v>0.145</v>
      </c>
      <c r="F31" s="685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43070</v>
      </c>
      <c r="E32" s="686">
        <v>0.125</v>
      </c>
      <c r="F32" s="685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43101</v>
      </c>
      <c r="E33" s="686">
        <v>0.13</v>
      </c>
      <c r="F33" s="685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43132</v>
      </c>
      <c r="E34" s="686">
        <v>0.145</v>
      </c>
      <c r="F34" s="685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43160</v>
      </c>
      <c r="E35" s="686">
        <v>0.14</v>
      </c>
      <c r="F35" s="685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43191</v>
      </c>
      <c r="E36" s="686">
        <v>0.145</v>
      </c>
      <c r="F36" s="685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43221</v>
      </c>
      <c r="E37" s="686">
        <v>0.14</v>
      </c>
      <c r="F37" s="685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43252</v>
      </c>
      <c r="E38" s="686">
        <v>0.15</v>
      </c>
      <c r="F38" s="685"/>
      <c r="G38" s="199"/>
      <c r="H38" s="191"/>
      <c r="I38" s="191"/>
      <c r="J38" s="191"/>
      <c r="AC38" s="694"/>
    </row>
    <row r="39" spans="1:29">
      <c r="A39" s="673"/>
      <c r="D39" s="682">
        <f t="shared" si="1"/>
        <v>43282</v>
      </c>
      <c r="E39" s="686"/>
      <c r="F39" s="685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Aug</v>
      </c>
      <c r="D49" s="223"/>
      <c r="E49" s="223">
        <v>411275</v>
      </c>
      <c r="F49" s="225">
        <v>697</v>
      </c>
      <c r="G49" s="225"/>
      <c r="H49" s="225">
        <f>E49/J49/F49*100</f>
        <v>79.3097530121411</v>
      </c>
      <c r="I49" s="225" t="e">
        <f>D49/J49/G49*100</f>
        <v>#DIV/0!</v>
      </c>
      <c r="J49">
        <v>744</v>
      </c>
    </row>
    <row r="50" spans="1:10">
      <c r="A50" s="673"/>
      <c r="B50" s="219"/>
      <c r="C50" s="219" t="str">
        <f t="shared" ref="C50:C60" si="2">C5</f>
        <v>Sep</v>
      </c>
      <c r="D50" s="251"/>
      <c r="E50" s="251">
        <v>388603</v>
      </c>
      <c r="F50" s="225">
        <v>697</v>
      </c>
      <c r="G50" s="225"/>
      <c r="H50" s="225">
        <f t="shared" ref="H50:H60" si="3">E50/J50/F50*100</f>
        <v>77.4356368563686</v>
      </c>
      <c r="I50" s="225" t="e">
        <f t="shared" ref="I50:I60" si="4">D50/J50/G50*100</f>
        <v>#DIV/0!</v>
      </c>
      <c r="J50">
        <v>720</v>
      </c>
    </row>
    <row r="51" spans="1:10">
      <c r="A51" s="673"/>
      <c r="B51" s="219"/>
      <c r="C51" s="219" t="str">
        <f t="shared" si="2"/>
        <v>october</v>
      </c>
      <c r="D51" s="251"/>
      <c r="E51" s="251">
        <v>396279</v>
      </c>
      <c r="F51" s="225">
        <v>697</v>
      </c>
      <c r="G51" s="225"/>
      <c r="H51" s="225">
        <f t="shared" si="3"/>
        <v>76.417943259129</v>
      </c>
      <c r="I51" s="225" t="e">
        <f t="shared" si="4"/>
        <v>#DIV/0!</v>
      </c>
      <c r="J51">
        <v>744</v>
      </c>
    </row>
    <row r="52" spans="1:10">
      <c r="A52" s="673"/>
      <c r="B52" s="219"/>
      <c r="C52" s="219" t="str">
        <f t="shared" si="2"/>
        <v>Nov</v>
      </c>
      <c r="D52" s="251"/>
      <c r="E52" s="251">
        <v>388831</v>
      </c>
      <c r="F52" s="225">
        <v>697</v>
      </c>
      <c r="G52" s="225"/>
      <c r="H52" s="225">
        <f t="shared" si="3"/>
        <v>77.4810696636378</v>
      </c>
      <c r="I52" s="225" t="e">
        <f t="shared" si="4"/>
        <v>#DIV/0!</v>
      </c>
      <c r="J52">
        <v>720</v>
      </c>
    </row>
    <row r="53" spans="1:10">
      <c r="A53" s="673"/>
      <c r="B53" s="219"/>
      <c r="C53" s="219" t="str">
        <f t="shared" si="2"/>
        <v>Dec</v>
      </c>
      <c r="D53" s="251"/>
      <c r="E53" s="251">
        <v>328612</v>
      </c>
      <c r="F53" s="225">
        <v>697</v>
      </c>
      <c r="G53" s="225"/>
      <c r="H53" s="225">
        <f t="shared" si="3"/>
        <v>63.369124203576</v>
      </c>
      <c r="I53" s="225" t="e">
        <f t="shared" si="4"/>
        <v>#DIV/0!</v>
      </c>
      <c r="J53">
        <v>744</v>
      </c>
    </row>
    <row r="54" spans="1:10">
      <c r="A54" s="673"/>
      <c r="B54" s="219"/>
      <c r="C54" s="219" t="str">
        <f t="shared" si="2"/>
        <v>Jan</v>
      </c>
      <c r="D54" s="251"/>
      <c r="E54" s="251">
        <v>353701</v>
      </c>
      <c r="F54" s="225">
        <v>697</v>
      </c>
      <c r="G54" s="225"/>
      <c r="H54" s="225">
        <f t="shared" si="3"/>
        <v>68.2072553647738</v>
      </c>
      <c r="I54" s="225" t="e">
        <f t="shared" si="4"/>
        <v>#DIV/0!</v>
      </c>
      <c r="J54">
        <v>744</v>
      </c>
    </row>
    <row r="55" spans="1:10">
      <c r="A55" s="673"/>
      <c r="B55" s="219"/>
      <c r="C55" s="219" t="str">
        <f t="shared" si="2"/>
        <v>Feb</v>
      </c>
      <c r="D55" s="251"/>
      <c r="E55" s="251">
        <v>318757</v>
      </c>
      <c r="F55" s="225">
        <v>697</v>
      </c>
      <c r="G55" s="225"/>
      <c r="H55" s="225">
        <f t="shared" si="3"/>
        <v>68.0546303887409</v>
      </c>
      <c r="I55" s="225" t="e">
        <f t="shared" si="4"/>
        <v>#DIV/0!</v>
      </c>
      <c r="J55">
        <v>672</v>
      </c>
    </row>
    <row r="56" spans="1:10">
      <c r="A56" s="673"/>
      <c r="B56" s="219"/>
      <c r="C56" s="219" t="str">
        <f t="shared" si="2"/>
        <v>March</v>
      </c>
      <c r="D56" s="251"/>
      <c r="E56" s="251">
        <v>376034</v>
      </c>
      <c r="F56" s="225">
        <v>697</v>
      </c>
      <c r="G56" s="225"/>
      <c r="H56" s="225">
        <f t="shared" si="3"/>
        <v>72.5139229570664</v>
      </c>
      <c r="I56" s="225" t="e">
        <f t="shared" si="4"/>
        <v>#DIV/0!</v>
      </c>
      <c r="J56">
        <v>744</v>
      </c>
    </row>
    <row r="57" spans="1:10">
      <c r="A57" s="673"/>
      <c r="B57" s="219"/>
      <c r="C57" s="219" t="str">
        <f t="shared" si="2"/>
        <v>apr</v>
      </c>
      <c r="D57" s="251"/>
      <c r="E57" s="251">
        <v>359482</v>
      </c>
      <c r="F57" s="225">
        <v>697</v>
      </c>
      <c r="G57" s="225"/>
      <c r="H57" s="225">
        <f t="shared" si="3"/>
        <v>71.6327913279133</v>
      </c>
      <c r="I57" s="225" t="e">
        <f t="shared" si="4"/>
        <v>#DIV/0!</v>
      </c>
      <c r="J57">
        <v>720</v>
      </c>
    </row>
    <row r="58" spans="1:10">
      <c r="A58" s="673"/>
      <c r="B58" s="219"/>
      <c r="C58" s="219" t="str">
        <f t="shared" si="2"/>
        <v>may</v>
      </c>
      <c r="D58" s="251"/>
      <c r="E58" s="251">
        <v>395376</v>
      </c>
      <c r="F58" s="225">
        <v>697</v>
      </c>
      <c r="G58" s="225"/>
      <c r="H58" s="225">
        <f t="shared" si="3"/>
        <v>76.2438098764289</v>
      </c>
      <c r="I58" s="225" t="e">
        <f t="shared" si="4"/>
        <v>#DIV/0!</v>
      </c>
      <c r="J58">
        <v>744</v>
      </c>
    </row>
    <row r="59" spans="1:10">
      <c r="A59" s="673"/>
      <c r="B59" s="219"/>
      <c r="C59" s="219" t="str">
        <f t="shared" si="2"/>
        <v>June</v>
      </c>
      <c r="D59" s="251"/>
      <c r="E59" s="251">
        <v>400415</v>
      </c>
      <c r="F59" s="225">
        <v>697</v>
      </c>
      <c r="G59" s="225"/>
      <c r="H59" s="225">
        <f t="shared" si="3"/>
        <v>79.7893750996333</v>
      </c>
      <c r="I59" s="225" t="e">
        <f t="shared" si="4"/>
        <v>#DIV/0!</v>
      </c>
      <c r="J59">
        <v>720</v>
      </c>
    </row>
    <row r="60" spans="1:10">
      <c r="A60" s="673"/>
      <c r="B60" s="228"/>
      <c r="C60" s="224" t="str">
        <f t="shared" si="2"/>
        <v>July</v>
      </c>
      <c r="D60" s="252"/>
      <c r="E60" s="252">
        <v>389931</v>
      </c>
      <c r="F60" s="225">
        <v>697</v>
      </c>
      <c r="G60" s="225"/>
      <c r="H60" s="225">
        <f t="shared" si="3"/>
        <v>75.1938029342343</v>
      </c>
      <c r="I60" s="225" t="e">
        <f t="shared" si="4"/>
        <v>#DIV/0!</v>
      </c>
      <c r="J60">
        <v>744</v>
      </c>
    </row>
    <row r="61" spans="1:12">
      <c r="A61" s="673"/>
      <c r="D61" s="251"/>
      <c r="E61" s="684">
        <f>SUM(E49:E60)/8760</f>
        <v>514.531506849315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599993896298105"/>
  </sheetPr>
  <dimension ref="A1:T65"/>
  <sheetViews>
    <sheetView zoomScale="115" zoomScaleNormal="115" workbookViewId="0">
      <selection activeCell="M27" sqref="M27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5.8365384615385" style="156" customWidth="1"/>
    <col min="9" max="9" width="11.8365384615385" style="156" customWidth="1"/>
    <col min="10" max="10" width="14.5" style="156" customWidth="1"/>
    <col min="11" max="11" width="11.5" style="156"/>
    <col min="12" max="12" width="13.5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783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784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329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741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9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586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785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259</v>
      </c>
      <c r="E13" s="67" t="s">
        <v>178</v>
      </c>
      <c r="F13" s="67" t="s">
        <v>23</v>
      </c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>
        <v>1</v>
      </c>
      <c r="G14" s="68"/>
      <c r="H14" s="64"/>
      <c r="I14" s="57" t="s">
        <v>248</v>
      </c>
      <c r="J14" s="64"/>
      <c r="K14" s="703">
        <v>31765.917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2300</v>
      </c>
      <c r="E15" s="69">
        <v>2300</v>
      </c>
      <c r="F15" s="69">
        <v>2300</v>
      </c>
      <c r="G15" s="69"/>
      <c r="H15" s="98">
        <f>D15+E15+F15</f>
        <v>6900</v>
      </c>
      <c r="I15" s="57" t="s">
        <v>249</v>
      </c>
      <c r="J15" s="64"/>
      <c r="K15" s="704">
        <v>87.0299095890411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2100</v>
      </c>
      <c r="E16" s="69">
        <v>2100</v>
      </c>
      <c r="F16" s="69">
        <v>2100</v>
      </c>
      <c r="G16" s="69"/>
      <c r="H16" s="98">
        <f>D16+E16+F16</f>
        <v>6300</v>
      </c>
      <c r="I16" s="56" t="s">
        <v>157</v>
      </c>
      <c r="J16" s="56"/>
      <c r="K16" s="704">
        <v>7.3886692313054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/>
      <c r="H17" s="98"/>
      <c r="I17" s="56" t="s">
        <v>58</v>
      </c>
      <c r="J17" s="56"/>
      <c r="K17" s="704">
        <v>78.0580329920556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1000</v>
      </c>
      <c r="E18" s="71">
        <v>1000</v>
      </c>
      <c r="F18" s="71">
        <v>1000</v>
      </c>
      <c r="G18" s="71"/>
      <c r="H18" s="98">
        <f>D18+E18+F18</f>
        <v>3000</v>
      </c>
      <c r="I18" s="56" t="s">
        <v>786</v>
      </c>
      <c r="J18" s="56"/>
      <c r="K18" s="704">
        <v>12.4349440596118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787</v>
      </c>
      <c r="J19" s="56"/>
      <c r="K19" s="704">
        <v>2.11835371702728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/>
      <c r="J20" s="56"/>
      <c r="K20" s="702"/>
      <c r="L20" s="123"/>
      <c r="M20" s="178"/>
    </row>
    <row r="21" ht="15" customHeight="1" spans="1:13">
      <c r="A21" s="157"/>
      <c r="B21" s="66" t="s">
        <v>71</v>
      </c>
      <c r="C21" s="64" t="s">
        <v>59</v>
      </c>
      <c r="D21" s="75">
        <v>9.96</v>
      </c>
      <c r="E21" s="75">
        <v>9.69</v>
      </c>
      <c r="F21" s="77"/>
      <c r="G21" s="77"/>
      <c r="H21" s="102"/>
      <c r="I21" s="56"/>
      <c r="J21" s="56"/>
      <c r="K21" s="702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81.87</v>
      </c>
      <c r="E22" s="75">
        <v>81.43</v>
      </c>
      <c r="F22" s="77"/>
      <c r="G22" s="77"/>
      <c r="H22" s="102"/>
      <c r="I22" s="56"/>
      <c r="J22" s="56"/>
      <c r="K22" s="702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549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588</v>
      </c>
      <c r="I24" s="127" t="s">
        <v>80</v>
      </c>
      <c r="J24" s="56"/>
      <c r="K24" s="122">
        <v>33.9138973782851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699" t="s">
        <v>657</v>
      </c>
      <c r="I25" s="128" t="s">
        <v>83</v>
      </c>
      <c r="J25" s="56"/>
      <c r="K25" s="122">
        <v>95.9524768148299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313</v>
      </c>
      <c r="I26" s="57" t="s">
        <v>86</v>
      </c>
      <c r="J26" s="56"/>
      <c r="K26" s="122">
        <v>82.3528929118713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238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788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7.75</v>
      </c>
      <c r="E29" s="75">
        <v>7.73</v>
      </c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43</v>
      </c>
      <c r="E30" s="77">
        <v>44.8</v>
      </c>
      <c r="F30" s="77">
        <v>41.1</v>
      </c>
      <c r="G30" s="77"/>
      <c r="H30" s="78"/>
      <c r="I30" s="66" t="s">
        <v>96</v>
      </c>
      <c r="J30" s="92"/>
      <c r="K30" s="135">
        <v>4000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2.1</v>
      </c>
      <c r="E31" s="75">
        <v>2.1</v>
      </c>
      <c r="F31" s="75"/>
      <c r="G31" s="80"/>
      <c r="H31" s="78"/>
      <c r="I31" s="66" t="s">
        <v>99</v>
      </c>
      <c r="J31" s="92"/>
      <c r="K31" s="119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5.06</v>
      </c>
      <c r="E32" s="75">
        <v>4.97</v>
      </c>
      <c r="F32" s="75"/>
      <c r="G32" s="80"/>
      <c r="H32" s="78"/>
      <c r="I32" s="66" t="s">
        <v>66</v>
      </c>
      <c r="J32" s="92"/>
      <c r="K32" s="135">
        <v>4000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360</v>
      </c>
      <c r="E33" s="77">
        <v>171</v>
      </c>
      <c r="F33" s="80"/>
      <c r="G33" s="80"/>
      <c r="H33" s="78"/>
      <c r="I33" s="57" t="s">
        <v>103</v>
      </c>
      <c r="J33" s="64"/>
      <c r="K33" s="136">
        <v>1.9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0.196</v>
      </c>
      <c r="E34" s="80">
        <v>0.2</v>
      </c>
      <c r="F34" s="80"/>
      <c r="G34" s="80"/>
      <c r="H34" s="78"/>
      <c r="I34" s="66" t="s">
        <v>105</v>
      </c>
      <c r="J34" s="64"/>
      <c r="K34" s="137">
        <v>6.54907603792172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74.8541280209037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69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5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52.51</v>
      </c>
      <c r="O40" s="156" t="s">
        <v>77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/>
      <c r="H41" s="67"/>
      <c r="I41" s="66"/>
      <c r="J41" s="64" t="s">
        <v>113</v>
      </c>
      <c r="K41" s="143" t="s">
        <v>116</v>
      </c>
      <c r="L41" s="145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/>
      <c r="H42" s="102"/>
      <c r="I42" s="66"/>
      <c r="J42" s="64" t="s">
        <v>113</v>
      </c>
      <c r="K42" s="143" t="s">
        <v>120</v>
      </c>
      <c r="L42" s="705">
        <v>0.336</v>
      </c>
    </row>
    <row r="43" ht="15" customHeight="1" spans="1:12">
      <c r="A43" s="157"/>
      <c r="B43" s="66" t="s">
        <v>121</v>
      </c>
      <c r="C43" s="64" t="s">
        <v>122</v>
      </c>
      <c r="D43" s="77">
        <v>889</v>
      </c>
      <c r="E43" s="77">
        <v>624</v>
      </c>
      <c r="F43" s="77">
        <v>255</v>
      </c>
      <c r="G43" s="78"/>
      <c r="H43" s="102"/>
      <c r="I43" s="66"/>
      <c r="J43" s="64" t="s">
        <v>123</v>
      </c>
      <c r="K43" s="144" t="s">
        <v>124</v>
      </c>
      <c r="L43" s="147">
        <v>2</v>
      </c>
    </row>
    <row r="44" ht="15" customHeight="1" spans="1:17">
      <c r="A44" s="157"/>
      <c r="B44" s="66" t="s">
        <v>125</v>
      </c>
      <c r="C44" s="64" t="s">
        <v>122</v>
      </c>
      <c r="D44" s="77">
        <v>875</v>
      </c>
      <c r="E44" s="77">
        <v>714</v>
      </c>
      <c r="F44" s="77">
        <v>280</v>
      </c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42</v>
      </c>
      <c r="E45" s="78">
        <v>39.9</v>
      </c>
      <c r="F45" s="78">
        <v>38.8</v>
      </c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41.4</v>
      </c>
      <c r="E46" s="78">
        <v>45.7</v>
      </c>
      <c r="F46" s="78">
        <v>42.2</v>
      </c>
      <c r="G46" s="78"/>
      <c r="H46" s="102"/>
      <c r="I46" s="66"/>
      <c r="J46" s="64" t="s">
        <v>131</v>
      </c>
      <c r="K46" s="79">
        <v>246.455375426436</v>
      </c>
      <c r="L46" s="147">
        <v>129.428204525875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0" t="s">
        <v>133</v>
      </c>
      <c r="G47" s="70"/>
      <c r="H47" s="70"/>
      <c r="I47" s="66"/>
      <c r="J47" s="64" t="s">
        <v>134</v>
      </c>
      <c r="K47" s="79">
        <v>792.84203122941</v>
      </c>
      <c r="L47" s="147">
        <v>416.36795463323</v>
      </c>
    </row>
    <row r="48" ht="15" customHeight="1" spans="1:13">
      <c r="A48" s="157"/>
      <c r="B48" s="66" t="s">
        <v>135</v>
      </c>
      <c r="C48" s="64" t="s">
        <v>240</v>
      </c>
      <c r="D48" s="69">
        <v>8743</v>
      </c>
      <c r="E48" s="69">
        <v>8641</v>
      </c>
      <c r="F48" s="78"/>
      <c r="G48" s="78"/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7523600/D43</f>
        <v>8462.99212598425</v>
      </c>
      <c r="E49" s="69">
        <f>5386300/E43</f>
        <v>8631.89102564103</v>
      </c>
      <c r="F49" s="69">
        <f>2215811/F43</f>
        <v>8689.45490196078</v>
      </c>
      <c r="G49" s="69"/>
      <c r="H49" s="98"/>
      <c r="I49" s="66"/>
      <c r="J49" s="64" t="s">
        <v>139</v>
      </c>
      <c r="K49" s="150">
        <f>14944496/365</f>
        <v>40943.8246575342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f>D49/8760*100</f>
        <v>96.6094991550714</v>
      </c>
      <c r="E50" s="77">
        <f t="shared" ref="E50:F50" si="0">E49/8760*100</f>
        <v>98.5375687858565</v>
      </c>
      <c r="F50" s="77">
        <f t="shared" si="0"/>
        <v>99.1946906616528</v>
      </c>
      <c r="G50" s="77"/>
      <c r="H50" s="77"/>
      <c r="I50" s="66"/>
      <c r="J50" s="64" t="s">
        <v>141</v>
      </c>
      <c r="K50" s="150">
        <f>K49/K15</f>
        <v>470.456936596542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893160</v>
      </c>
      <c r="D55" s="69">
        <f>C55/(D49*D43+E49*E43+F49*F43+G49*G43+H49*H43)*100</f>
        <v>5.90491250295606</v>
      </c>
      <c r="E55" s="111" t="s">
        <v>147</v>
      </c>
      <c r="F55" s="64"/>
      <c r="G55" s="64" t="s">
        <v>148</v>
      </c>
      <c r="H55" s="64"/>
      <c r="I55" s="69">
        <v>400000</v>
      </c>
      <c r="J55" s="69">
        <f>I55/(D49*D44+E49*E44+F49*F44+G49*G44+H49*H44)*100</f>
        <v>2.49979131818742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789</v>
      </c>
      <c r="H56" s="64"/>
      <c r="I56" s="69">
        <v>2874831</v>
      </c>
      <c r="J56" s="69">
        <f>I56/(D49*D44+E49*E44+F49*F44+G49*G44+H49*H44)*100</f>
        <v>17.9661939376402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790</v>
      </c>
      <c r="H57" s="64"/>
      <c r="I57" s="69">
        <v>878000</v>
      </c>
      <c r="J57" s="69">
        <f>I57/(D49*D44+E49*E44+F49*F44+G49*G44+H49*H44)*100</f>
        <v>5.48704194342139</v>
      </c>
      <c r="K57" s="111" t="s">
        <v>149</v>
      </c>
      <c r="L57" s="114"/>
    </row>
    <row r="58" ht="15" customHeight="1" spans="1:12">
      <c r="A58" s="157"/>
      <c r="B58" s="66"/>
      <c r="C58" s="92"/>
      <c r="D58" s="69"/>
      <c r="E58" s="64"/>
      <c r="F58" s="64"/>
      <c r="G58" s="64" t="s">
        <v>791</v>
      </c>
      <c r="H58" s="64"/>
      <c r="I58" s="69">
        <v>4134000</v>
      </c>
      <c r="J58" s="69">
        <f>I58/(D49*D44+E49*E44+F49*F44+G49*G44+H49*H44)*100</f>
        <v>25.835343273467</v>
      </c>
      <c r="K58" s="111" t="s">
        <v>149</v>
      </c>
      <c r="L58" s="114"/>
    </row>
    <row r="59" ht="15" customHeight="1" spans="1:12">
      <c r="A59" s="157"/>
      <c r="B59" s="66"/>
      <c r="C59" s="92"/>
      <c r="D59" s="69"/>
      <c r="E59" s="64"/>
      <c r="F59" s="64"/>
      <c r="G59" s="64" t="s">
        <v>792</v>
      </c>
      <c r="H59" s="64"/>
      <c r="I59" s="69">
        <v>6281000</v>
      </c>
      <c r="J59" s="69">
        <f>I59/(D48*D43+E48*E43+F48*F43+G48*G43+H48*H43)*100</f>
        <v>47.7116088854345</v>
      </c>
      <c r="K59" s="111" t="s">
        <v>149</v>
      </c>
      <c r="L59" s="114"/>
    </row>
    <row r="60" spans="1:12">
      <c r="A60" s="157"/>
      <c r="B60" s="81"/>
      <c r="C60" s="94"/>
      <c r="D60" s="89"/>
      <c r="E60" s="94"/>
      <c r="F60" s="94"/>
      <c r="G60" s="94"/>
      <c r="H60" s="94"/>
      <c r="I60" s="89"/>
      <c r="J60" s="89"/>
      <c r="K60" s="153"/>
      <c r="L60" s="115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spans="1:1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</row>
    <row r="63" ht="16.8" spans="7:8">
      <c r="G63"/>
      <c r="H63"/>
    </row>
    <row r="64" ht="16.8" spans="7:8">
      <c r="G64"/>
      <c r="H64"/>
    </row>
    <row r="65" spans="6:6">
      <c r="F65" s="156" t="s">
        <v>77</v>
      </c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599993896298105"/>
  </sheetPr>
  <dimension ref="A1:AJ66"/>
  <sheetViews>
    <sheetView zoomScale="85" zoomScaleNormal="85" workbookViewId="0">
      <selection activeCell="M27" sqref="M27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793</v>
      </c>
      <c r="K2" t="s">
        <v>794</v>
      </c>
      <c r="L2" t="s">
        <v>159</v>
      </c>
      <c r="M2" t="s">
        <v>159</v>
      </c>
      <c r="N2" t="s">
        <v>159</v>
      </c>
      <c r="O2" t="s">
        <v>159</v>
      </c>
      <c r="P2" t="s">
        <v>160</v>
      </c>
      <c r="Q2" t="s">
        <v>161</v>
      </c>
      <c r="R2" t="s">
        <v>67</v>
      </c>
      <c r="S2" t="s">
        <v>162</v>
      </c>
      <c r="T2" t="s">
        <v>163</v>
      </c>
      <c r="U2" t="s">
        <v>322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42948</v>
      </c>
      <c r="C4" s="219" t="s">
        <v>176</v>
      </c>
      <c r="D4" s="674"/>
      <c r="E4" s="674"/>
      <c r="F4" s="674">
        <v>74.1303413541353</v>
      </c>
      <c r="G4" s="674"/>
      <c r="H4" s="674"/>
      <c r="I4" s="674">
        <v>16.0115975459205</v>
      </c>
      <c r="J4" s="674">
        <v>0</v>
      </c>
      <c r="K4" s="674">
        <v>9.8580610999442</v>
      </c>
      <c r="L4" s="674"/>
      <c r="M4" s="674"/>
      <c r="N4" s="674"/>
      <c r="O4" s="674"/>
      <c r="P4" s="674"/>
      <c r="Q4" s="674"/>
      <c r="R4" s="674"/>
      <c r="S4" s="674"/>
      <c r="T4" s="674"/>
      <c r="U4" s="674"/>
      <c r="Y4" s="219"/>
      <c r="Z4" s="203">
        <v>82.6166774193548</v>
      </c>
      <c r="AA4" s="203"/>
      <c r="AB4" s="203">
        <f>SUM(D4:O4)</f>
        <v>100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42979</v>
      </c>
      <c r="C5" s="219" t="s">
        <v>177</v>
      </c>
      <c r="D5" s="203"/>
      <c r="E5" s="203"/>
      <c r="F5" s="203">
        <v>71.0262288622324</v>
      </c>
      <c r="G5" s="203"/>
      <c r="H5" s="203"/>
      <c r="I5" s="203">
        <v>18.1228293025339</v>
      </c>
      <c r="J5" s="203">
        <v>0</v>
      </c>
      <c r="K5" s="203">
        <v>10.8509418352337</v>
      </c>
      <c r="L5" s="203"/>
      <c r="M5" s="203"/>
      <c r="N5" s="203"/>
      <c r="O5" s="203"/>
      <c r="P5" s="203"/>
      <c r="Q5" s="203"/>
      <c r="R5" s="203"/>
      <c r="S5" s="203"/>
      <c r="T5" s="203"/>
      <c r="U5" s="203"/>
      <c r="Y5" s="219"/>
      <c r="Z5" s="203">
        <v>86.1688666666667</v>
      </c>
      <c r="AA5" s="203"/>
      <c r="AB5" s="203">
        <f t="shared" ref="AB5:AB15" si="0">SUM(D5:O5)</f>
        <v>100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43009</v>
      </c>
      <c r="C6" s="219" t="s">
        <v>166</v>
      </c>
      <c r="D6" s="203"/>
      <c r="E6" s="203"/>
      <c r="F6" s="203">
        <v>80.3690592986952</v>
      </c>
      <c r="G6" s="203"/>
      <c r="H6" s="203"/>
      <c r="I6" s="203">
        <v>14.7809910517978</v>
      </c>
      <c r="J6" s="203">
        <v>0</v>
      </c>
      <c r="K6" s="203">
        <v>4.84994964950696</v>
      </c>
      <c r="L6" s="203"/>
      <c r="M6" s="203"/>
      <c r="N6" s="203"/>
      <c r="O6" s="203"/>
      <c r="P6" s="203"/>
      <c r="Q6" s="203"/>
      <c r="R6" s="203"/>
      <c r="S6" s="203"/>
      <c r="T6" s="203"/>
      <c r="U6" s="203"/>
      <c r="Y6" s="219"/>
      <c r="Z6" s="203">
        <v>93.0731290322581</v>
      </c>
      <c r="AA6" s="203"/>
      <c r="AB6" s="203">
        <f t="shared" si="0"/>
        <v>100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43040</v>
      </c>
      <c r="C7" s="219" t="s">
        <v>167</v>
      </c>
      <c r="D7" s="203"/>
      <c r="E7" s="203"/>
      <c r="F7" s="203">
        <v>94.8222479457109</v>
      </c>
      <c r="G7" s="203"/>
      <c r="H7" s="203"/>
      <c r="I7" s="203">
        <v>5.17775205428905</v>
      </c>
      <c r="J7" s="203">
        <v>0</v>
      </c>
      <c r="K7" s="203">
        <v>0</v>
      </c>
      <c r="L7" s="203"/>
      <c r="M7" s="203"/>
      <c r="N7" s="203"/>
      <c r="O7" s="203"/>
      <c r="P7" s="203"/>
      <c r="Q7" s="203"/>
      <c r="R7" s="203"/>
      <c r="S7" s="203"/>
      <c r="T7" s="203"/>
      <c r="U7" s="203"/>
      <c r="Y7" s="219"/>
      <c r="Z7" s="203">
        <v>85.8578</v>
      </c>
      <c r="AA7" s="203"/>
      <c r="AB7" s="203">
        <f t="shared" si="0"/>
        <v>100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43070</v>
      </c>
      <c r="C8" s="219" t="s">
        <v>168</v>
      </c>
      <c r="D8" s="203"/>
      <c r="E8" s="203"/>
      <c r="F8" s="203">
        <v>87.9583688130892</v>
      </c>
      <c r="G8" s="203"/>
      <c r="H8" s="203"/>
      <c r="I8" s="203">
        <v>12.0416311869108</v>
      </c>
      <c r="J8" s="203">
        <v>0</v>
      </c>
      <c r="K8" s="203">
        <v>0</v>
      </c>
      <c r="L8" s="203"/>
      <c r="M8" s="203"/>
      <c r="N8" s="203"/>
      <c r="O8" s="203"/>
      <c r="P8" s="203"/>
      <c r="Q8" s="203"/>
      <c r="R8" s="203"/>
      <c r="S8" s="203"/>
      <c r="T8" s="203"/>
      <c r="U8" s="203"/>
      <c r="Y8" s="219"/>
      <c r="Z8" s="203">
        <v>83.5113225806452</v>
      </c>
      <c r="AA8" s="203"/>
      <c r="AB8" s="203">
        <f t="shared" si="0"/>
        <v>100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43101</v>
      </c>
      <c r="C9" s="219" t="s">
        <v>169</v>
      </c>
      <c r="D9" s="203"/>
      <c r="E9" s="203"/>
      <c r="F9" s="203">
        <v>63.9264546829928</v>
      </c>
      <c r="G9" s="203"/>
      <c r="H9" s="203"/>
      <c r="I9" s="203">
        <v>11.5720020705662</v>
      </c>
      <c r="J9" s="203">
        <v>24.501543246441</v>
      </c>
      <c r="K9" s="203">
        <v>0</v>
      </c>
      <c r="L9" s="203"/>
      <c r="M9" s="203"/>
      <c r="N9" s="203"/>
      <c r="O9" s="203"/>
      <c r="P9" s="203"/>
      <c r="Q9" s="203"/>
      <c r="R9" s="203"/>
      <c r="S9" s="203"/>
      <c r="T9" s="203"/>
      <c r="U9" s="203"/>
      <c r="Y9" s="219"/>
      <c r="Z9" s="203">
        <v>89.7752258064516</v>
      </c>
      <c r="AA9" s="203"/>
      <c r="AB9" s="203">
        <f t="shared" si="0"/>
        <v>100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43132</v>
      </c>
      <c r="C10" s="219" t="s">
        <v>170</v>
      </c>
      <c r="D10" s="203"/>
      <c r="E10" s="203"/>
      <c r="F10" s="203">
        <v>66.7204998884799</v>
      </c>
      <c r="G10" s="203"/>
      <c r="H10" s="203"/>
      <c r="I10" s="203">
        <v>6.34475767361268</v>
      </c>
      <c r="J10" s="203">
        <v>26.9347424379074</v>
      </c>
      <c r="K10" s="203">
        <v>0</v>
      </c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Y10" s="219"/>
      <c r="Z10" s="203">
        <v>90.6306785714286</v>
      </c>
      <c r="AA10" s="203"/>
      <c r="AB10" s="203">
        <f t="shared" si="0"/>
        <v>100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43160</v>
      </c>
      <c r="C11" s="219" t="s">
        <v>171</v>
      </c>
      <c r="D11" s="203"/>
      <c r="E11" s="203"/>
      <c r="F11" s="203">
        <v>73.4403787143056</v>
      </c>
      <c r="G11" s="203"/>
      <c r="H11" s="203"/>
      <c r="I11" s="203">
        <v>0</v>
      </c>
      <c r="J11" s="203">
        <v>26.5596212856944</v>
      </c>
      <c r="K11" s="203">
        <v>0</v>
      </c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Y11" s="219"/>
      <c r="Z11" s="203">
        <v>90.9892258064516</v>
      </c>
      <c r="AA11" s="203"/>
      <c r="AB11" s="203">
        <f t="shared" si="0"/>
        <v>100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43191</v>
      </c>
      <c r="C12" s="219" t="s">
        <v>172</v>
      </c>
      <c r="D12" s="203"/>
      <c r="E12" s="203"/>
      <c r="F12" s="203">
        <v>74.0901838353702</v>
      </c>
      <c r="G12" s="203"/>
      <c r="H12" s="203"/>
      <c r="I12" s="203">
        <v>0</v>
      </c>
      <c r="J12" s="203">
        <v>25.9098161646298</v>
      </c>
      <c r="K12" s="203">
        <v>0</v>
      </c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Y12" s="219"/>
      <c r="Z12" s="203">
        <v>92.6403</v>
      </c>
      <c r="AA12" s="203"/>
      <c r="AB12" s="203">
        <f t="shared" si="0"/>
        <v>100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43221</v>
      </c>
      <c r="C13" s="219" t="s">
        <v>173</v>
      </c>
      <c r="D13" s="203"/>
      <c r="E13" s="203"/>
      <c r="F13" s="203">
        <v>72.2315929941109</v>
      </c>
      <c r="G13" s="203"/>
      <c r="H13" s="203"/>
      <c r="I13" s="203">
        <v>0</v>
      </c>
      <c r="J13" s="203">
        <v>27.7684070058891</v>
      </c>
      <c r="K13" s="203">
        <v>0</v>
      </c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Y13" s="219"/>
      <c r="Z13" s="203">
        <v>86.2036451612903</v>
      </c>
      <c r="AA13" s="203"/>
      <c r="AB13" s="203">
        <f t="shared" si="0"/>
        <v>100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43252</v>
      </c>
      <c r="C14" s="219" t="s">
        <v>174</v>
      </c>
      <c r="D14" s="203"/>
      <c r="E14" s="203"/>
      <c r="F14" s="203">
        <v>85.0516783938349</v>
      </c>
      <c r="G14" s="203"/>
      <c r="H14" s="203"/>
      <c r="I14" s="203">
        <v>0</v>
      </c>
      <c r="J14" s="203">
        <v>14.9483216061651</v>
      </c>
      <c r="K14" s="203">
        <v>0</v>
      </c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Y14" s="219"/>
      <c r="Z14" s="203">
        <v>83.2582666666667</v>
      </c>
      <c r="AA14" s="203"/>
      <c r="AB14" s="203">
        <f t="shared" si="0"/>
        <v>100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43282</v>
      </c>
      <c r="C15" s="219" t="s">
        <v>175</v>
      </c>
      <c r="D15" s="259"/>
      <c r="E15" s="259"/>
      <c r="F15" s="259">
        <v>95.4067335236301</v>
      </c>
      <c r="G15" s="259"/>
      <c r="H15" s="259"/>
      <c r="I15" s="259">
        <v>4.59326647636994</v>
      </c>
      <c r="J15" s="259">
        <v>0</v>
      </c>
      <c r="K15" s="259">
        <v>0</v>
      </c>
      <c r="L15" s="259"/>
      <c r="M15" s="259"/>
      <c r="N15" s="259"/>
      <c r="O15" s="259"/>
      <c r="P15" s="259"/>
      <c r="Q15" s="259"/>
      <c r="R15" s="259"/>
      <c r="S15" s="259"/>
      <c r="T15" s="259"/>
      <c r="U15" s="259"/>
      <c r="Z15" s="203">
        <v>79.9759677419355</v>
      </c>
      <c r="AA15" s="203"/>
      <c r="AB15" s="203">
        <f t="shared" si="0"/>
        <v>100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259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42948</v>
      </c>
      <c r="E28" s="686">
        <v>0.205</v>
      </c>
      <c r="F28" s="685">
        <v>0.195</v>
      </c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42979</v>
      </c>
      <c r="E29" s="686">
        <v>0.245</v>
      </c>
      <c r="F29" s="685">
        <v>0.21</v>
      </c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43009</v>
      </c>
      <c r="E30" s="686">
        <v>0.295</v>
      </c>
      <c r="F30" s="685">
        <v>0.22</v>
      </c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43040</v>
      </c>
      <c r="E31" s="686">
        <v>0.13</v>
      </c>
      <c r="F31" s="685">
        <v>0.18</v>
      </c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43070</v>
      </c>
      <c r="E32" s="686">
        <v>0.165</v>
      </c>
      <c r="F32" s="685">
        <v>0.175</v>
      </c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43101</v>
      </c>
      <c r="E33" s="686">
        <v>0.2</v>
      </c>
      <c r="F33" s="685">
        <v>0.205</v>
      </c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43132</v>
      </c>
      <c r="E34" s="686">
        <v>0.175</v>
      </c>
      <c r="F34" s="685">
        <v>0.215</v>
      </c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43160</v>
      </c>
      <c r="E35" s="686">
        <v>0.215</v>
      </c>
      <c r="F35" s="685">
        <v>0.22</v>
      </c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43191</v>
      </c>
      <c r="E36" s="686">
        <v>0.14</v>
      </c>
      <c r="F36" s="685">
        <v>0.22</v>
      </c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43221</v>
      </c>
      <c r="E37" s="686">
        <v>0.21</v>
      </c>
      <c r="F37" s="685">
        <v>0.21</v>
      </c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43252</v>
      </c>
      <c r="E38" s="686">
        <v>0.18</v>
      </c>
      <c r="F38" s="685">
        <v>0.175</v>
      </c>
      <c r="G38" s="199"/>
      <c r="H38" s="191"/>
      <c r="I38" s="191"/>
      <c r="J38" s="191"/>
      <c r="AC38" s="694"/>
    </row>
    <row r="39" spans="1:29">
      <c r="A39" s="673"/>
      <c r="D39" s="682">
        <f t="shared" si="1"/>
        <v>43282</v>
      </c>
      <c r="E39" s="686"/>
      <c r="F39" s="685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Aug</v>
      </c>
      <c r="D49" s="223">
        <v>1072733</v>
      </c>
      <c r="E49" s="223">
        <v>1235333</v>
      </c>
      <c r="F49" s="225">
        <v>1711</v>
      </c>
      <c r="G49" s="225">
        <v>1869</v>
      </c>
      <c r="H49" s="225">
        <f>E49/J49/F49*100</f>
        <v>97.0423037524431</v>
      </c>
      <c r="I49" s="225">
        <f>D49/J49/G49*100</f>
        <v>77.1452878602208</v>
      </c>
      <c r="J49">
        <v>744</v>
      </c>
    </row>
    <row r="50" spans="1:10">
      <c r="A50" s="673"/>
      <c r="B50" s="219"/>
      <c r="C50" s="219" t="str">
        <f t="shared" ref="C50:C60" si="2">C5</f>
        <v>Sep</v>
      </c>
      <c r="D50" s="251">
        <v>1168157</v>
      </c>
      <c r="E50" s="251">
        <v>1247111</v>
      </c>
      <c r="F50" s="225">
        <v>1711</v>
      </c>
      <c r="G50" s="225">
        <v>1869</v>
      </c>
      <c r="H50" s="225">
        <f t="shared" ref="H50:H60" si="3">E50/J50/F50*100</f>
        <v>101.233115786739</v>
      </c>
      <c r="I50" s="225">
        <f t="shared" ref="I50:I60" si="4">D50/J50/G50*100</f>
        <v>86.8079335354616</v>
      </c>
      <c r="J50">
        <v>720</v>
      </c>
    </row>
    <row r="51" spans="1:10">
      <c r="A51" s="673"/>
      <c r="B51" s="219"/>
      <c r="C51" s="219" t="str">
        <f t="shared" si="2"/>
        <v>Oct</v>
      </c>
      <c r="D51" s="251">
        <v>1276161</v>
      </c>
      <c r="E51" s="251">
        <v>1282396</v>
      </c>
      <c r="F51" s="225">
        <v>1711</v>
      </c>
      <c r="G51" s="225">
        <v>1869</v>
      </c>
      <c r="H51" s="225">
        <f t="shared" si="3"/>
        <v>100.739365145202</v>
      </c>
      <c r="I51" s="225">
        <f t="shared" si="4"/>
        <v>91.7747544831633</v>
      </c>
      <c r="J51">
        <v>744</v>
      </c>
    </row>
    <row r="52" spans="1:10">
      <c r="A52" s="673"/>
      <c r="B52" s="219"/>
      <c r="C52" s="219" t="str">
        <f t="shared" si="2"/>
        <v>Nov</v>
      </c>
      <c r="D52" s="251">
        <v>1225382</v>
      </c>
      <c r="E52" s="251">
        <v>1250222</v>
      </c>
      <c r="F52" s="225">
        <v>1711</v>
      </c>
      <c r="G52" s="225">
        <v>1869</v>
      </c>
      <c r="H52" s="225">
        <f t="shared" si="3"/>
        <v>101.485648418728</v>
      </c>
      <c r="I52" s="225">
        <f t="shared" si="4"/>
        <v>91.060430414363</v>
      </c>
      <c r="J52">
        <v>720</v>
      </c>
    </row>
    <row r="53" spans="1:10">
      <c r="A53" s="673"/>
      <c r="B53" s="219"/>
      <c r="C53" s="219" t="str">
        <f t="shared" si="2"/>
        <v>dec</v>
      </c>
      <c r="D53" s="251">
        <v>1262447</v>
      </c>
      <c r="E53" s="251">
        <v>1289071</v>
      </c>
      <c r="F53" s="225">
        <v>1711</v>
      </c>
      <c r="G53" s="225">
        <v>1869</v>
      </c>
      <c r="H53" s="225">
        <f t="shared" si="3"/>
        <v>101.263723660313</v>
      </c>
      <c r="I53" s="225">
        <f t="shared" si="4"/>
        <v>90.7885160830068</v>
      </c>
      <c r="J53">
        <v>744</v>
      </c>
    </row>
    <row r="54" spans="1:10">
      <c r="A54" s="673"/>
      <c r="B54" s="219"/>
      <c r="C54" s="219" t="str">
        <f t="shared" si="2"/>
        <v>Jan</v>
      </c>
      <c r="D54" s="251">
        <v>1271660</v>
      </c>
      <c r="E54" s="251">
        <v>1272385</v>
      </c>
      <c r="F54" s="225">
        <v>1711</v>
      </c>
      <c r="G54" s="225">
        <v>1869</v>
      </c>
      <c r="H54" s="225">
        <f t="shared" si="3"/>
        <v>99.9529452059099</v>
      </c>
      <c r="I54" s="225">
        <f t="shared" si="4"/>
        <v>91.4510663513926</v>
      </c>
      <c r="J54">
        <v>744</v>
      </c>
    </row>
    <row r="55" spans="1:10">
      <c r="A55" s="673"/>
      <c r="B55" s="219"/>
      <c r="C55" s="219" t="str">
        <f t="shared" si="2"/>
        <v>Feb</v>
      </c>
      <c r="D55" s="251">
        <v>1123611</v>
      </c>
      <c r="E55" s="251">
        <v>1147859</v>
      </c>
      <c r="F55" s="225">
        <v>1711</v>
      </c>
      <c r="G55" s="225">
        <v>1869</v>
      </c>
      <c r="H55" s="225">
        <f t="shared" si="3"/>
        <v>99.8318826361638</v>
      </c>
      <c r="I55" s="225">
        <f t="shared" si="4"/>
        <v>89.4617538026447</v>
      </c>
      <c r="J55">
        <v>672</v>
      </c>
    </row>
    <row r="56" spans="1:10">
      <c r="A56" s="673"/>
      <c r="B56" s="219"/>
      <c r="C56" s="219" t="str">
        <f t="shared" si="2"/>
        <v>mar</v>
      </c>
      <c r="D56" s="251">
        <v>1225227</v>
      </c>
      <c r="E56" s="251">
        <v>1257713</v>
      </c>
      <c r="F56" s="225">
        <v>1711</v>
      </c>
      <c r="G56" s="225">
        <v>1869</v>
      </c>
      <c r="H56" s="225">
        <f t="shared" si="3"/>
        <v>98.800377695242</v>
      </c>
      <c r="I56" s="225">
        <f t="shared" si="4"/>
        <v>88.1118503943803</v>
      </c>
      <c r="J56">
        <v>744</v>
      </c>
    </row>
    <row r="57" spans="1:10">
      <c r="A57" s="673"/>
      <c r="B57" s="219"/>
      <c r="C57" s="219" t="str">
        <f t="shared" si="2"/>
        <v>apr</v>
      </c>
      <c r="D57" s="251">
        <v>1184161</v>
      </c>
      <c r="E57" s="251">
        <v>1231808</v>
      </c>
      <c r="F57" s="225">
        <v>1711</v>
      </c>
      <c r="G57" s="225">
        <v>1869</v>
      </c>
      <c r="H57" s="225">
        <f t="shared" si="3"/>
        <v>99.990908500552</v>
      </c>
      <c r="I57" s="225">
        <f t="shared" si="4"/>
        <v>87.9972207359848</v>
      </c>
      <c r="J57">
        <v>720</v>
      </c>
    </row>
    <row r="58" spans="1:10">
      <c r="A58" s="673"/>
      <c r="B58" s="219"/>
      <c r="C58" s="219" t="str">
        <f t="shared" si="2"/>
        <v>May</v>
      </c>
      <c r="D58" s="251">
        <v>1146639</v>
      </c>
      <c r="E58" s="251">
        <v>1270046</v>
      </c>
      <c r="F58" s="225">
        <v>1711</v>
      </c>
      <c r="G58" s="225">
        <v>1869</v>
      </c>
      <c r="H58" s="225">
        <f t="shared" si="3"/>
        <v>99.7692036977684</v>
      </c>
      <c r="I58" s="225">
        <f t="shared" si="4"/>
        <v>82.4602167797166</v>
      </c>
      <c r="J58">
        <v>744</v>
      </c>
    </row>
    <row r="59" spans="1:10">
      <c r="A59" s="673"/>
      <c r="B59" s="219"/>
      <c r="C59" s="219" t="str">
        <f t="shared" si="2"/>
        <v>June</v>
      </c>
      <c r="D59" s="251">
        <v>1122969</v>
      </c>
      <c r="E59" s="251">
        <v>1227806</v>
      </c>
      <c r="F59" s="225">
        <v>1711</v>
      </c>
      <c r="G59" s="225">
        <v>1869</v>
      </c>
      <c r="H59" s="225">
        <f t="shared" si="3"/>
        <v>99.6660497434898</v>
      </c>
      <c r="I59" s="225">
        <f t="shared" si="4"/>
        <v>83.4499286606028</v>
      </c>
      <c r="J59">
        <v>720</v>
      </c>
    </row>
    <row r="60" spans="1:10">
      <c r="A60" s="673"/>
      <c r="B60" s="228"/>
      <c r="C60" s="224" t="str">
        <f t="shared" si="2"/>
        <v>July</v>
      </c>
      <c r="D60" s="252">
        <v>1088684</v>
      </c>
      <c r="E60" s="252">
        <v>1232746</v>
      </c>
      <c r="F60" s="225">
        <v>1711</v>
      </c>
      <c r="G60" s="225">
        <v>1869</v>
      </c>
      <c r="H60" s="225">
        <f t="shared" si="3"/>
        <v>96.8390804597701</v>
      </c>
      <c r="I60" s="225">
        <f t="shared" si="4"/>
        <v>78.2923994776115</v>
      </c>
      <c r="J60">
        <v>744</v>
      </c>
    </row>
    <row r="61" spans="1:12">
      <c r="A61" s="673"/>
      <c r="D61" s="684">
        <f>SUM(D49:D60)/8760</f>
        <v>1617.33230593607</v>
      </c>
      <c r="E61" s="684">
        <f>SUM(E49:E60)/8760</f>
        <v>1705.99269406393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599993896298105"/>
  </sheetPr>
  <dimension ref="A1:M83"/>
  <sheetViews>
    <sheetView zoomScale="115" zoomScaleNormal="115" workbookViewId="0">
      <selection activeCell="M27" sqref="M27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783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1768</v>
      </c>
      <c r="G3" s="22"/>
      <c r="H3" s="23" t="s">
        <v>187</v>
      </c>
      <c r="I3" s="5" t="s">
        <v>188</v>
      </c>
      <c r="J3" s="35">
        <v>14721238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1711</v>
      </c>
      <c r="G4" s="217"/>
      <c r="H4" s="25" t="s">
        <v>187</v>
      </c>
      <c r="I4" s="7" t="s">
        <v>191</v>
      </c>
      <c r="J4" s="37">
        <v>5533028.6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84.7847527298205</v>
      </c>
      <c r="H6" s="27" t="s">
        <v>195</v>
      </c>
      <c r="I6" s="1"/>
      <c r="J6" s="40">
        <v>2719114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15.2043650935945</v>
      </c>
      <c r="H7" s="27" t="s">
        <v>195</v>
      </c>
      <c r="I7" s="1"/>
      <c r="J7" s="40">
        <v>487616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0.0108821765849859</v>
      </c>
      <c r="H8" s="27" t="s">
        <v>195</v>
      </c>
      <c r="I8" s="1"/>
      <c r="J8" s="40">
        <v>349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3207079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323</v>
      </c>
      <c r="D11" s="1"/>
      <c r="E11" s="1"/>
      <c r="F11" s="1"/>
      <c r="G11" s="26">
        <v>49.0281847856667</v>
      </c>
      <c r="H11" s="27" t="s">
        <v>195</v>
      </c>
      <c r="I11" s="1"/>
      <c r="J11" s="40">
        <v>1305581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6.08775487080005</v>
      </c>
      <c r="H16" s="27" t="s">
        <v>195</v>
      </c>
      <c r="I16" s="1"/>
      <c r="J16" s="40">
        <v>162112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13.0984817560995</v>
      </c>
      <c r="H17" s="27" t="s">
        <v>195</v>
      </c>
      <c r="I17" s="1"/>
      <c r="J17" s="40">
        <v>348802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15.7125793646372</v>
      </c>
      <c r="H18" s="27" t="s">
        <v>195</v>
      </c>
      <c r="I18" s="1"/>
      <c r="J18" s="40">
        <v>418413.31</v>
      </c>
      <c r="K18" s="41" t="s">
        <v>196</v>
      </c>
      <c r="L18" s="1"/>
    </row>
    <row r="19" ht="21.75" customHeight="1" spans="1:12">
      <c r="A19" s="1"/>
      <c r="B19" s="11"/>
      <c r="C19" s="1" t="s">
        <v>324</v>
      </c>
      <c r="D19" s="1"/>
      <c r="E19" s="1"/>
      <c r="F19" s="1"/>
      <c r="G19" s="26">
        <v>16.0729992227966</v>
      </c>
      <c r="H19" s="27" t="s">
        <v>195</v>
      </c>
      <c r="I19" s="1"/>
      <c r="J19" s="40">
        <v>428011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3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  <c r="M21" t="s">
        <v>77</v>
      </c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179039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17982</v>
      </c>
      <c r="K24" s="44" t="s">
        <v>196</v>
      </c>
      <c r="L24" s="15"/>
    </row>
    <row r="25" ht="21.75" customHeight="1" spans="1:13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11162</v>
      </c>
      <c r="K25" s="44" t="s">
        <v>196</v>
      </c>
      <c r="L25" s="15"/>
      <c r="M25" t="s">
        <v>77</v>
      </c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66344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1349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28447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221</v>
      </c>
      <c r="E29" s="15"/>
      <c r="F29" s="15"/>
      <c r="G29" s="31"/>
      <c r="H29" s="15"/>
      <c r="I29" s="15"/>
      <c r="J29" s="45">
        <v>22521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220</v>
      </c>
      <c r="E30" s="15"/>
      <c r="F30" s="15"/>
      <c r="G30" s="31"/>
      <c r="H30" s="15"/>
      <c r="I30" s="15"/>
      <c r="J30" s="45">
        <v>61340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19870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2662919.31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21.7853892451165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18.0889631021521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3.69642614296433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544159.69</v>
      </c>
      <c r="K37" s="43" t="s">
        <v>196</v>
      </c>
      <c r="L37" s="12"/>
    </row>
    <row r="38" ht="21.75" customHeight="1" spans="1:12">
      <c r="A38" s="1"/>
      <c r="B38" s="1" t="s">
        <v>325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795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21.75" customHeight="1" spans="1:1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249977111117893"/>
  </sheetPr>
  <dimension ref="A1:T63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5.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796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797</v>
      </c>
      <c r="D4" s="213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329</v>
      </c>
      <c r="D5" s="581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741</v>
      </c>
      <c r="D6" s="5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369</v>
      </c>
      <c r="D7" s="213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263</v>
      </c>
      <c r="D8" s="213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281</v>
      </c>
      <c r="D9" s="5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733</v>
      </c>
      <c r="D10" s="5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/>
      <c r="G14" s="68"/>
      <c r="H14" s="64"/>
      <c r="I14" s="57" t="s">
        <v>248</v>
      </c>
      <c r="J14" s="64"/>
      <c r="K14" s="161">
        <v>17333.85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2500</v>
      </c>
      <c r="E15" s="69">
        <v>2100</v>
      </c>
      <c r="F15" s="69"/>
      <c r="G15" s="69"/>
      <c r="H15" s="98">
        <f>D15+E15+F15</f>
        <v>4600</v>
      </c>
      <c r="I15" s="57" t="s">
        <v>249</v>
      </c>
      <c r="J15" s="64"/>
      <c r="K15" s="701">
        <v>47.49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2100</v>
      </c>
      <c r="E16" s="69">
        <v>1750</v>
      </c>
      <c r="F16" s="69"/>
      <c r="G16" s="69"/>
      <c r="H16" s="98">
        <f>D16+E16+F16</f>
        <v>3850</v>
      </c>
      <c r="I16" s="56" t="s">
        <v>58</v>
      </c>
      <c r="J16" s="56"/>
      <c r="K16" s="701">
        <v>99.7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/>
      <c r="G17" s="70"/>
      <c r="H17" s="98"/>
      <c r="I17" s="56" t="s">
        <v>437</v>
      </c>
      <c r="J17" s="56"/>
      <c r="K17" s="701">
        <v>0.3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782</v>
      </c>
      <c r="E18" s="71">
        <v>598</v>
      </c>
      <c r="F18" s="71"/>
      <c r="G18" s="71"/>
      <c r="H18" s="98">
        <f>D18+E18+F18</f>
        <v>1380</v>
      </c>
      <c r="I18" s="56"/>
      <c r="J18" s="56"/>
      <c r="K18" s="702"/>
      <c r="L18" s="123"/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/>
      <c r="J19" s="56"/>
      <c r="K19" s="702"/>
      <c r="L19" s="123"/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/>
      <c r="J20" s="56"/>
      <c r="K20" s="702"/>
      <c r="L20" s="123"/>
      <c r="M20" s="178"/>
    </row>
    <row r="21" ht="15" customHeight="1" spans="1:13">
      <c r="A21" s="157"/>
      <c r="B21" s="66" t="s">
        <v>71</v>
      </c>
      <c r="C21" s="64" t="s">
        <v>59</v>
      </c>
      <c r="D21" s="75">
        <v>7.947</v>
      </c>
      <c r="E21" s="75">
        <v>6.73</v>
      </c>
      <c r="F21" s="77"/>
      <c r="G21" s="77"/>
      <c r="H21" s="102"/>
      <c r="I21" s="56"/>
      <c r="J21" s="56"/>
      <c r="K21" s="702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81.63</v>
      </c>
      <c r="E22" s="75">
        <v>78.81</v>
      </c>
      <c r="F22" s="77"/>
      <c r="G22" s="77"/>
      <c r="H22" s="102"/>
      <c r="I22" s="56"/>
      <c r="J22" s="56"/>
      <c r="K22" s="702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334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775</v>
      </c>
      <c r="I24" s="127" t="s">
        <v>80</v>
      </c>
      <c r="J24" s="56"/>
      <c r="K24" s="122">
        <v>33.3523710403991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699" t="s">
        <v>296</v>
      </c>
      <c r="I25" s="128" t="s">
        <v>83</v>
      </c>
      <c r="J25" s="56"/>
      <c r="K25" s="122">
        <v>96.7831215093636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798</v>
      </c>
      <c r="I26" s="57" t="s">
        <v>86</v>
      </c>
      <c r="J26" s="56"/>
      <c r="K26" s="122">
        <v>80.6748875463047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700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799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7.68</v>
      </c>
      <c r="E29" s="75">
        <v>7.53</v>
      </c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41</v>
      </c>
      <c r="E30" s="77">
        <v>40.1</v>
      </c>
      <c r="F30" s="77"/>
      <c r="G30" s="77"/>
      <c r="H30" s="78"/>
      <c r="I30" s="66" t="s">
        <v>96</v>
      </c>
      <c r="J30" s="92"/>
      <c r="K30" s="135">
        <v>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1.24</v>
      </c>
      <c r="E31" s="75"/>
      <c r="F31" s="75"/>
      <c r="G31" s="80"/>
      <c r="H31" s="78"/>
      <c r="I31" s="66" t="s">
        <v>99</v>
      </c>
      <c r="J31" s="92"/>
      <c r="K31" s="135">
        <v>4200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4.42</v>
      </c>
      <c r="E32" s="75">
        <v>4.395</v>
      </c>
      <c r="F32" s="75"/>
      <c r="G32" s="80"/>
      <c r="H32" s="78"/>
      <c r="I32" s="66" t="s">
        <v>66</v>
      </c>
      <c r="J32" s="92"/>
      <c r="K32" s="135">
        <v>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169</v>
      </c>
      <c r="E33" s="77"/>
      <c r="F33" s="80"/>
      <c r="G33" s="80"/>
      <c r="H33" s="78"/>
      <c r="I33" s="57" t="s">
        <v>103</v>
      </c>
      <c r="J33" s="64"/>
      <c r="K33" s="136">
        <v>3.3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0.19</v>
      </c>
      <c r="E34" s="80"/>
      <c r="F34" s="80"/>
      <c r="G34" s="80"/>
      <c r="H34" s="78"/>
      <c r="I34" s="66" t="s">
        <v>105</v>
      </c>
      <c r="J34" s="64"/>
      <c r="K34" s="137">
        <v>6.72798209854318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78.810380745622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57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53.247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145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146">
        <v>0.41</v>
      </c>
    </row>
    <row r="43" ht="15" customHeight="1" spans="1:12">
      <c r="A43" s="157"/>
      <c r="B43" s="66" t="s">
        <v>121</v>
      </c>
      <c r="C43" s="64" t="s">
        <v>122</v>
      </c>
      <c r="D43" s="77" t="s">
        <v>800</v>
      </c>
      <c r="E43" s="77">
        <v>400</v>
      </c>
      <c r="F43" s="77"/>
      <c r="G43" s="78"/>
      <c r="H43" s="102"/>
      <c r="I43" s="66"/>
      <c r="J43" s="64" t="s">
        <v>123</v>
      </c>
      <c r="K43" s="144" t="s">
        <v>124</v>
      </c>
      <c r="L43" s="147">
        <v>7</v>
      </c>
    </row>
    <row r="44" ht="15" customHeight="1" spans="1:17">
      <c r="A44" s="157"/>
      <c r="B44" s="66" t="s">
        <v>125</v>
      </c>
      <c r="C44" s="64" t="s">
        <v>122</v>
      </c>
      <c r="D44" s="77">
        <v>689</v>
      </c>
      <c r="E44" s="77">
        <v>434</v>
      </c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39.2</v>
      </c>
      <c r="E45" s="78">
        <v>40.4</v>
      </c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37.7</v>
      </c>
      <c r="E46" s="78">
        <v>43.8</v>
      </c>
      <c r="F46" s="78"/>
      <c r="G46" s="78"/>
      <c r="H46" s="102"/>
      <c r="I46" s="66"/>
      <c r="J46" s="64" t="s">
        <v>131</v>
      </c>
      <c r="K46" s="79">
        <v>240.501273519732</v>
      </c>
      <c r="L46" s="147">
        <v>128.052068692369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 t="s">
        <v>133</v>
      </c>
      <c r="F47" s="70"/>
      <c r="G47" s="70"/>
      <c r="H47" s="70"/>
      <c r="I47" s="66"/>
      <c r="J47" s="64" t="s">
        <v>134</v>
      </c>
      <c r="K47" s="79">
        <v>774.004528717016</v>
      </c>
      <c r="L47" s="147">
        <v>412.109589396185</v>
      </c>
    </row>
    <row r="48" ht="15" customHeight="1" spans="1:13">
      <c r="A48" s="157"/>
      <c r="B48" s="66" t="s">
        <v>135</v>
      </c>
      <c r="C48" s="64" t="s">
        <v>240</v>
      </c>
      <c r="D48" s="69">
        <v>8590</v>
      </c>
      <c r="E48" s="69">
        <v>8524</v>
      </c>
      <c r="F48" s="78"/>
      <c r="G48" s="78"/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5053680/716</f>
        <v>7058.21229050279</v>
      </c>
      <c r="E49" s="69">
        <f>3273000/E43</f>
        <v>8182.5</v>
      </c>
      <c r="F49" s="77"/>
      <c r="G49" s="69"/>
      <c r="H49" s="98"/>
      <c r="I49" s="66"/>
      <c r="J49" s="64" t="s">
        <v>139</v>
      </c>
      <c r="K49" s="150">
        <f>8250295/365</f>
        <v>22603.5479452055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f>D49/8760*100</f>
        <v>80.5731996632739</v>
      </c>
      <c r="E50" s="77">
        <f>E49/8760*100</f>
        <v>93.4075342465753</v>
      </c>
      <c r="F50" s="77"/>
      <c r="G50" s="77"/>
      <c r="H50" s="77"/>
      <c r="I50" s="66"/>
      <c r="J50" s="64" t="s">
        <v>141</v>
      </c>
      <c r="K50" s="150">
        <f>K49/K15</f>
        <v>475.964370292809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639986</v>
      </c>
      <c r="D55" s="69">
        <f>C55/(5053680+3273000)*100</f>
        <v>7.68596847723222</v>
      </c>
      <c r="E55" s="111" t="s">
        <v>147</v>
      </c>
      <c r="F55" s="64"/>
      <c r="G55" s="64"/>
      <c r="H55" s="64"/>
      <c r="I55" s="69"/>
      <c r="J55" s="69"/>
      <c r="K55" s="111"/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801</v>
      </c>
      <c r="H56" s="64"/>
      <c r="I56" s="69">
        <v>3468800</v>
      </c>
      <c r="J56" s="69">
        <f>I56/(D49*D44+E49*E44+F49*F44+G49*G44+H49*H44)*100</f>
        <v>41.2249923368971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64" t="s">
        <v>320</v>
      </c>
      <c r="H57" s="64"/>
      <c r="I57" s="69">
        <v>1628600</v>
      </c>
      <c r="J57" s="69">
        <f>I57/(D49*D44+E49*E44+F49*F44+G49*G44+H49*H44)*100</f>
        <v>19.3551148869553</v>
      </c>
      <c r="K57" s="111" t="s">
        <v>149</v>
      </c>
      <c r="L57" s="114"/>
    </row>
    <row r="58" ht="15" customHeight="1" spans="1:12">
      <c r="A58" s="157"/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G61"/>
      <c r="H61"/>
    </row>
    <row r="62" ht="16.8" spans="7:8">
      <c r="G62"/>
      <c r="H62"/>
    </row>
    <row r="63" spans="5:5">
      <c r="E63" s="156" t="s">
        <v>77</v>
      </c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249977111117893"/>
  </sheetPr>
  <dimension ref="A1:AJ66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321</v>
      </c>
      <c r="K2" t="s">
        <v>159</v>
      </c>
      <c r="L2" t="s">
        <v>159</v>
      </c>
      <c r="M2" t="s">
        <v>159</v>
      </c>
      <c r="N2" t="s">
        <v>159</v>
      </c>
      <c r="O2" t="s">
        <v>159</v>
      </c>
      <c r="P2" t="s">
        <v>437</v>
      </c>
      <c r="Q2" t="s">
        <v>161</v>
      </c>
      <c r="R2" t="s">
        <v>67</v>
      </c>
      <c r="S2" t="s">
        <v>162</v>
      </c>
      <c r="T2" t="s">
        <v>163</v>
      </c>
      <c r="U2" t="s">
        <v>322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42948</v>
      </c>
      <c r="C4" s="219" t="s">
        <v>176</v>
      </c>
      <c r="D4" s="674"/>
      <c r="E4" s="674"/>
      <c r="F4" s="674">
        <v>100</v>
      </c>
      <c r="G4" s="674"/>
      <c r="H4" s="674"/>
      <c r="I4" s="674"/>
      <c r="J4" s="674"/>
      <c r="K4" s="674"/>
      <c r="L4" s="674"/>
      <c r="M4" s="674"/>
      <c r="N4" s="674"/>
      <c r="O4" s="674"/>
      <c r="P4">
        <v>0</v>
      </c>
      <c r="Q4" s="674"/>
      <c r="R4" s="674"/>
      <c r="S4" s="674"/>
      <c r="T4" s="674"/>
      <c r="U4" s="674"/>
      <c r="Y4" s="219"/>
      <c r="Z4" s="203">
        <v>45.5322580645161</v>
      </c>
      <c r="AA4" s="203"/>
      <c r="AB4" s="203">
        <f>SUM(D4:O4)</f>
        <v>100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42979</v>
      </c>
      <c r="C5" s="219" t="s">
        <v>177</v>
      </c>
      <c r="D5" s="203"/>
      <c r="E5" s="203"/>
      <c r="F5" s="203">
        <v>100</v>
      </c>
      <c r="G5" s="203"/>
      <c r="H5" s="203"/>
      <c r="I5" s="203"/>
      <c r="J5" s="203"/>
      <c r="K5" s="203"/>
      <c r="L5" s="203"/>
      <c r="M5" s="203"/>
      <c r="N5" s="203"/>
      <c r="O5" s="203"/>
      <c r="P5">
        <v>0</v>
      </c>
      <c r="Q5" s="203"/>
      <c r="R5" s="203"/>
      <c r="S5" s="203"/>
      <c r="T5" s="203"/>
      <c r="U5" s="203"/>
      <c r="Y5" s="219"/>
      <c r="Z5" s="203">
        <v>45.655</v>
      </c>
      <c r="AA5" s="203"/>
      <c r="AB5" s="203">
        <f t="shared" ref="AB5:AB15" si="0">SUM(D5:O5)</f>
        <v>100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43009</v>
      </c>
      <c r="C6" s="219" t="s">
        <v>166</v>
      </c>
      <c r="D6" s="203"/>
      <c r="E6" s="203"/>
      <c r="F6" s="203">
        <v>100</v>
      </c>
      <c r="G6" s="203"/>
      <c r="H6" s="203"/>
      <c r="I6" s="203"/>
      <c r="J6" s="203"/>
      <c r="K6" s="203"/>
      <c r="L6" s="203"/>
      <c r="M6" s="203"/>
      <c r="N6" s="203"/>
      <c r="O6" s="203"/>
      <c r="P6">
        <v>0</v>
      </c>
      <c r="Q6" s="203"/>
      <c r="R6" s="203"/>
      <c r="S6" s="203"/>
      <c r="T6" s="203"/>
      <c r="U6" s="203"/>
      <c r="Y6" s="219"/>
      <c r="Z6" s="203">
        <v>44.7354838709677</v>
      </c>
      <c r="AA6" s="203"/>
      <c r="AB6" s="203">
        <f t="shared" si="0"/>
        <v>100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43040</v>
      </c>
      <c r="C7" s="219" t="s">
        <v>167</v>
      </c>
      <c r="D7" s="203"/>
      <c r="E7" s="203"/>
      <c r="F7" s="203">
        <v>100</v>
      </c>
      <c r="G7" s="203"/>
      <c r="H7" s="203"/>
      <c r="I7" s="203"/>
      <c r="J7" s="203"/>
      <c r="K7" s="203"/>
      <c r="L7" s="203"/>
      <c r="M7" s="203"/>
      <c r="N7" s="203"/>
      <c r="O7" s="203"/>
      <c r="P7">
        <v>0</v>
      </c>
      <c r="Q7" s="203"/>
      <c r="R7" s="203"/>
      <c r="S7" s="203"/>
      <c r="T7" s="203"/>
      <c r="U7" s="203"/>
      <c r="Y7" s="219"/>
      <c r="Z7" s="203">
        <v>45.775</v>
      </c>
      <c r="AA7" s="203"/>
      <c r="AB7" s="203">
        <f t="shared" si="0"/>
        <v>100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43070</v>
      </c>
      <c r="C8" s="219" t="s">
        <v>168</v>
      </c>
      <c r="D8" s="203"/>
      <c r="E8" s="203"/>
      <c r="F8" s="203">
        <v>100</v>
      </c>
      <c r="G8" s="203"/>
      <c r="H8" s="203"/>
      <c r="I8" s="203"/>
      <c r="J8" s="203"/>
      <c r="K8" s="203"/>
      <c r="L8" s="203"/>
      <c r="M8" s="203"/>
      <c r="N8" s="203"/>
      <c r="O8" s="203"/>
      <c r="P8">
        <v>0</v>
      </c>
      <c r="Q8" s="203"/>
      <c r="R8" s="203"/>
      <c r="S8" s="203"/>
      <c r="T8" s="203"/>
      <c r="U8" s="203"/>
      <c r="Y8" s="219"/>
      <c r="Z8" s="203">
        <v>49.0225806451613</v>
      </c>
      <c r="AA8" s="203"/>
      <c r="AB8" s="203">
        <f t="shared" si="0"/>
        <v>100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43101</v>
      </c>
      <c r="C9" s="219" t="s">
        <v>169</v>
      </c>
      <c r="D9" s="203"/>
      <c r="E9" s="203"/>
      <c r="F9" s="203">
        <v>100</v>
      </c>
      <c r="G9" s="203"/>
      <c r="H9" s="203"/>
      <c r="I9" s="203"/>
      <c r="J9" s="203"/>
      <c r="K9" s="203"/>
      <c r="L9" s="203"/>
      <c r="M9" s="203"/>
      <c r="N9" s="203"/>
      <c r="O9" s="203"/>
      <c r="P9">
        <v>0</v>
      </c>
      <c r="Q9" s="203"/>
      <c r="R9" s="203"/>
      <c r="S9" s="203"/>
      <c r="T9" s="203"/>
      <c r="U9" s="203"/>
      <c r="Y9" s="219"/>
      <c r="Z9" s="203">
        <v>56.4516129032258</v>
      </c>
      <c r="AA9" s="203"/>
      <c r="AB9" s="203">
        <f t="shared" si="0"/>
        <v>100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43132</v>
      </c>
      <c r="C10" s="219" t="s">
        <v>170</v>
      </c>
      <c r="D10" s="203"/>
      <c r="E10" s="203"/>
      <c r="F10" s="203">
        <v>100</v>
      </c>
      <c r="G10" s="203"/>
      <c r="H10" s="203"/>
      <c r="I10" s="203"/>
      <c r="J10" s="203"/>
      <c r="K10" s="203"/>
      <c r="L10" s="203"/>
      <c r="M10" s="203"/>
      <c r="N10" s="203"/>
      <c r="O10" s="203"/>
      <c r="P10">
        <v>0</v>
      </c>
      <c r="Q10" s="203"/>
      <c r="R10" s="203"/>
      <c r="S10" s="203"/>
      <c r="T10" s="203"/>
      <c r="U10" s="203"/>
      <c r="Y10" s="219"/>
      <c r="Z10" s="203">
        <v>52.0178571428571</v>
      </c>
      <c r="AA10" s="203"/>
      <c r="AB10" s="203">
        <f t="shared" si="0"/>
        <v>100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43160</v>
      </c>
      <c r="C11" s="219" t="s">
        <v>171</v>
      </c>
      <c r="D11" s="203"/>
      <c r="E11" s="203"/>
      <c r="F11" s="203">
        <v>100</v>
      </c>
      <c r="G11" s="203"/>
      <c r="H11" s="203"/>
      <c r="I11" s="203"/>
      <c r="J11" s="203"/>
      <c r="K11" s="203"/>
      <c r="L11" s="203"/>
      <c r="M11" s="203"/>
      <c r="N11" s="203"/>
      <c r="O11" s="203"/>
      <c r="P11">
        <v>0</v>
      </c>
      <c r="Q11" s="203"/>
      <c r="R11" s="203"/>
      <c r="S11" s="203"/>
      <c r="T11" s="203"/>
      <c r="U11" s="203"/>
      <c r="Y11" s="219"/>
      <c r="Z11" s="203">
        <v>50.0645161290323</v>
      </c>
      <c r="AA11" s="203"/>
      <c r="AB11" s="203">
        <f t="shared" si="0"/>
        <v>100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43191</v>
      </c>
      <c r="C12" s="219" t="s">
        <v>172</v>
      </c>
      <c r="D12" s="203"/>
      <c r="E12" s="203"/>
      <c r="F12" s="203">
        <v>100</v>
      </c>
      <c r="G12" s="203"/>
      <c r="H12" s="203"/>
      <c r="I12" s="203"/>
      <c r="J12" s="203"/>
      <c r="K12" s="203"/>
      <c r="L12" s="203"/>
      <c r="M12" s="203"/>
      <c r="N12" s="203"/>
      <c r="O12" s="203"/>
      <c r="P12">
        <v>0</v>
      </c>
      <c r="Q12" s="203"/>
      <c r="R12" s="203"/>
      <c r="S12" s="203"/>
      <c r="T12" s="203"/>
      <c r="U12" s="203"/>
      <c r="Y12" s="219"/>
      <c r="Z12" s="203">
        <v>48.8583333333333</v>
      </c>
      <c r="AA12" s="203"/>
      <c r="AB12" s="203">
        <f t="shared" si="0"/>
        <v>100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43221</v>
      </c>
      <c r="C13" s="219" t="s">
        <v>173</v>
      </c>
      <c r="D13" s="203"/>
      <c r="E13" s="203"/>
      <c r="F13" s="203">
        <v>100</v>
      </c>
      <c r="G13" s="203"/>
      <c r="H13" s="203"/>
      <c r="I13" s="203"/>
      <c r="J13" s="203"/>
      <c r="K13" s="203"/>
      <c r="L13" s="203"/>
      <c r="M13" s="203"/>
      <c r="N13" s="203"/>
      <c r="O13" s="203"/>
      <c r="P13">
        <v>0</v>
      </c>
      <c r="Q13" s="203"/>
      <c r="R13" s="203"/>
      <c r="S13" s="203"/>
      <c r="T13" s="203"/>
      <c r="U13" s="203"/>
      <c r="Y13" s="219"/>
      <c r="Z13" s="203">
        <v>41.5161290322581</v>
      </c>
      <c r="AA13" s="203"/>
      <c r="AB13" s="203">
        <f t="shared" si="0"/>
        <v>100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43252</v>
      </c>
      <c r="C14" s="219" t="s">
        <v>174</v>
      </c>
      <c r="D14" s="203"/>
      <c r="E14" s="203"/>
      <c r="F14" s="203">
        <v>100</v>
      </c>
      <c r="G14" s="203"/>
      <c r="H14" s="203"/>
      <c r="I14" s="203"/>
      <c r="J14" s="203"/>
      <c r="K14" s="203"/>
      <c r="L14" s="203"/>
      <c r="M14" s="203"/>
      <c r="N14" s="203"/>
      <c r="O14" s="203"/>
      <c r="P14">
        <v>0</v>
      </c>
      <c r="Q14" s="203"/>
      <c r="R14" s="203"/>
      <c r="S14" s="203"/>
      <c r="T14" s="203"/>
      <c r="U14" s="203"/>
      <c r="Y14" s="219"/>
      <c r="Z14" s="203">
        <v>44.4833333333333</v>
      </c>
      <c r="AA14" s="203"/>
      <c r="AB14" s="203">
        <f t="shared" si="0"/>
        <v>100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43282</v>
      </c>
      <c r="C15" s="219" t="s">
        <v>175</v>
      </c>
      <c r="D15" s="259"/>
      <c r="E15" s="259"/>
      <c r="F15" s="259">
        <v>96.3775224215247</v>
      </c>
      <c r="G15" s="259"/>
      <c r="H15" s="259"/>
      <c r="I15" s="259"/>
      <c r="J15" s="259"/>
      <c r="K15" s="259"/>
      <c r="L15" s="259"/>
      <c r="M15" s="259"/>
      <c r="N15" s="259"/>
      <c r="O15" s="259"/>
      <c r="P15">
        <v>3.62247757847534</v>
      </c>
      <c r="Q15" s="259"/>
      <c r="R15" s="259"/>
      <c r="S15" s="259"/>
      <c r="T15" s="259"/>
      <c r="U15" s="259"/>
      <c r="Z15" s="203">
        <v>46.0387096774194</v>
      </c>
      <c r="AA15" s="203"/>
      <c r="AB15" s="203">
        <f t="shared" si="0"/>
        <v>96.3775224215247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259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42948</v>
      </c>
      <c r="E28" s="686">
        <v>0.175</v>
      </c>
      <c r="F28" s="685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42979</v>
      </c>
      <c r="E29" s="686">
        <v>0.23</v>
      </c>
      <c r="F29" s="685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43009</v>
      </c>
      <c r="E30" s="686">
        <v>0.28</v>
      </c>
      <c r="F30" s="685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43040</v>
      </c>
      <c r="E31" s="686">
        <v>0.15</v>
      </c>
      <c r="F31" s="685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43070</v>
      </c>
      <c r="E32" s="686">
        <v>0.165</v>
      </c>
      <c r="F32" s="685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43101</v>
      </c>
      <c r="E33" s="686">
        <v>0.17</v>
      </c>
      <c r="F33" s="685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43132</v>
      </c>
      <c r="E34" s="686">
        <v>0.17</v>
      </c>
      <c r="F34" s="685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43160</v>
      </c>
      <c r="E35" s="686">
        <v>0.195</v>
      </c>
      <c r="F35" s="685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43191</v>
      </c>
      <c r="E36" s="686">
        <v>0.16</v>
      </c>
      <c r="F36" s="685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43221</v>
      </c>
      <c r="E37" s="686">
        <v>0.225</v>
      </c>
      <c r="F37" s="685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43252</v>
      </c>
      <c r="E38" s="686">
        <v>0.185</v>
      </c>
      <c r="F38" s="685"/>
      <c r="G38" s="199"/>
      <c r="H38" s="191"/>
      <c r="I38" s="191"/>
      <c r="J38" s="191"/>
      <c r="AC38" s="694"/>
    </row>
    <row r="39" spans="1:29">
      <c r="A39" s="673"/>
      <c r="D39" s="682">
        <f t="shared" si="1"/>
        <v>43282</v>
      </c>
      <c r="E39" s="686"/>
      <c r="F39" s="685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Aug</v>
      </c>
      <c r="D49" s="223">
        <v>276900</v>
      </c>
      <c r="E49" s="223">
        <v>700174</v>
      </c>
      <c r="F49" s="225">
        <v>1180</v>
      </c>
      <c r="G49" s="225">
        <v>1123</v>
      </c>
      <c r="H49" s="225">
        <f>E49/J49/F49*100</f>
        <v>79.7537361035174</v>
      </c>
      <c r="I49" s="225">
        <f>D49/J49/G49*100</f>
        <v>33.1413552408583</v>
      </c>
      <c r="J49">
        <v>744</v>
      </c>
    </row>
    <row r="50" spans="1:10">
      <c r="A50" s="673"/>
      <c r="B50" s="219"/>
      <c r="C50" s="219" t="str">
        <f t="shared" ref="C50:C60" si="2">C5</f>
        <v>Sep</v>
      </c>
      <c r="D50" s="251">
        <v>291700</v>
      </c>
      <c r="E50" s="251">
        <v>690446</v>
      </c>
      <c r="F50" s="225">
        <v>1180</v>
      </c>
      <c r="G50" s="225">
        <v>1123</v>
      </c>
      <c r="H50" s="225">
        <f t="shared" ref="H50:H60" si="3">E50/J50/F50*100</f>
        <v>81.2671845574388</v>
      </c>
      <c r="I50" s="225">
        <f t="shared" ref="I50:I60" si="4">D50/J50/G50*100</f>
        <v>36.0764816463837</v>
      </c>
      <c r="J50">
        <v>720</v>
      </c>
    </row>
    <row r="51" spans="1:10">
      <c r="A51" s="673"/>
      <c r="B51" s="219"/>
      <c r="C51" s="219" t="str">
        <f t="shared" si="2"/>
        <v>Oct</v>
      </c>
      <c r="D51" s="251">
        <v>434200</v>
      </c>
      <c r="E51" s="251">
        <v>697561</v>
      </c>
      <c r="F51" s="225">
        <v>1180</v>
      </c>
      <c r="G51" s="225">
        <v>1123</v>
      </c>
      <c r="H51" s="225">
        <f t="shared" si="3"/>
        <v>79.4561007836705</v>
      </c>
      <c r="I51" s="225">
        <f t="shared" si="4"/>
        <v>51.9681345091393</v>
      </c>
      <c r="J51">
        <v>744</v>
      </c>
    </row>
    <row r="52" spans="1:10">
      <c r="A52" s="673"/>
      <c r="B52" s="219"/>
      <c r="C52" s="219" t="str">
        <f t="shared" si="2"/>
        <v>Nov</v>
      </c>
      <c r="D52" s="251">
        <v>479940</v>
      </c>
      <c r="E52" s="251">
        <v>700214</v>
      </c>
      <c r="F52" s="225">
        <v>1180</v>
      </c>
      <c r="G52" s="225">
        <v>1123</v>
      </c>
      <c r="H52" s="225">
        <f t="shared" si="3"/>
        <v>82.4169020715631</v>
      </c>
      <c r="I52" s="225">
        <f t="shared" si="4"/>
        <v>59.3573760759869</v>
      </c>
      <c r="J52">
        <v>720</v>
      </c>
    </row>
    <row r="53" spans="1:10">
      <c r="A53" s="673"/>
      <c r="B53" s="219"/>
      <c r="C53" s="219" t="str">
        <f t="shared" si="2"/>
        <v>dec</v>
      </c>
      <c r="D53" s="251">
        <v>508677</v>
      </c>
      <c r="E53" s="251">
        <v>725691</v>
      </c>
      <c r="F53" s="225">
        <v>1180</v>
      </c>
      <c r="G53" s="225">
        <v>1123</v>
      </c>
      <c r="H53" s="225">
        <f t="shared" si="3"/>
        <v>82.6602651722253</v>
      </c>
      <c r="I53" s="225">
        <f t="shared" si="4"/>
        <v>60.8820699164105</v>
      </c>
      <c r="J53">
        <v>744</v>
      </c>
    </row>
    <row r="54" spans="1:10">
      <c r="A54" s="673"/>
      <c r="B54" s="219"/>
      <c r="C54" s="219" t="str">
        <f t="shared" si="2"/>
        <v>Jan</v>
      </c>
      <c r="D54" s="251">
        <v>514469</v>
      </c>
      <c r="E54" s="251">
        <v>710081</v>
      </c>
      <c r="F54" s="225">
        <v>1180</v>
      </c>
      <c r="G54" s="225">
        <v>1123</v>
      </c>
      <c r="H54" s="225">
        <f t="shared" si="3"/>
        <v>80.8821988336067</v>
      </c>
      <c r="I54" s="225">
        <f t="shared" si="4"/>
        <v>61.5752975421059</v>
      </c>
      <c r="J54">
        <v>744</v>
      </c>
    </row>
    <row r="55" spans="1:10">
      <c r="A55" s="673"/>
      <c r="B55" s="219"/>
      <c r="C55" s="219" t="str">
        <f t="shared" si="2"/>
        <v>Feb</v>
      </c>
      <c r="D55" s="251">
        <v>455601</v>
      </c>
      <c r="E55" s="251">
        <v>628992</v>
      </c>
      <c r="F55" s="225">
        <v>1180</v>
      </c>
      <c r="G55" s="225">
        <v>1123</v>
      </c>
      <c r="H55" s="225">
        <f t="shared" si="3"/>
        <v>79.3220338983051</v>
      </c>
      <c r="I55" s="225">
        <f t="shared" si="4"/>
        <v>60.3720105584531</v>
      </c>
      <c r="J55">
        <v>672</v>
      </c>
    </row>
    <row r="56" spans="1:10">
      <c r="A56" s="673"/>
      <c r="B56" s="219"/>
      <c r="C56" s="219" t="str">
        <f t="shared" si="2"/>
        <v>mar</v>
      </c>
      <c r="D56" s="251">
        <v>517089</v>
      </c>
      <c r="E56" s="251">
        <v>735533</v>
      </c>
      <c r="F56" s="225">
        <v>1180</v>
      </c>
      <c r="G56" s="225">
        <v>1123</v>
      </c>
      <c r="H56" s="225">
        <f t="shared" si="3"/>
        <v>83.7813240386368</v>
      </c>
      <c r="I56" s="225">
        <f t="shared" si="4"/>
        <v>61.8888777180938</v>
      </c>
      <c r="J56">
        <v>744</v>
      </c>
    </row>
    <row r="57" spans="1:10">
      <c r="A57" s="673"/>
      <c r="B57" s="219"/>
      <c r="C57" s="219" t="str">
        <f t="shared" si="2"/>
        <v>apr</v>
      </c>
      <c r="D57" s="251">
        <v>454752</v>
      </c>
      <c r="E57" s="251">
        <v>721968</v>
      </c>
      <c r="F57" s="225">
        <v>1180</v>
      </c>
      <c r="G57" s="225">
        <v>1123</v>
      </c>
      <c r="H57" s="225">
        <f t="shared" si="3"/>
        <v>84.9774011299435</v>
      </c>
      <c r="I57" s="225">
        <f t="shared" si="4"/>
        <v>56.2422083704363</v>
      </c>
      <c r="J57">
        <v>720</v>
      </c>
    </row>
    <row r="58" spans="1:10">
      <c r="A58" s="673"/>
      <c r="B58" s="219"/>
      <c r="C58" s="219" t="str">
        <f t="shared" si="2"/>
        <v>May</v>
      </c>
      <c r="D58" s="251">
        <v>406195</v>
      </c>
      <c r="E58" s="251">
        <v>622519</v>
      </c>
      <c r="F58" s="225">
        <v>1180</v>
      </c>
      <c r="G58" s="225">
        <v>1123</v>
      </c>
      <c r="H58" s="225">
        <f t="shared" si="3"/>
        <v>70.9083971204666</v>
      </c>
      <c r="I58" s="225">
        <f t="shared" si="4"/>
        <v>48.6162975516809</v>
      </c>
      <c r="J58">
        <v>744</v>
      </c>
    </row>
    <row r="59" spans="1:10">
      <c r="A59" s="673"/>
      <c r="B59" s="219"/>
      <c r="C59" s="219" t="str">
        <f t="shared" si="2"/>
        <v>June</v>
      </c>
      <c r="D59" s="251">
        <v>368701</v>
      </c>
      <c r="E59" s="251">
        <v>640722</v>
      </c>
      <c r="F59" s="225">
        <v>1180</v>
      </c>
      <c r="G59" s="225">
        <v>1123</v>
      </c>
      <c r="H59" s="225">
        <f t="shared" si="3"/>
        <v>75.4145480225989</v>
      </c>
      <c r="I59" s="225">
        <f t="shared" si="4"/>
        <v>45.599708123083</v>
      </c>
      <c r="J59">
        <v>720</v>
      </c>
    </row>
    <row r="60" spans="1:10">
      <c r="A60" s="673"/>
      <c r="B60" s="228"/>
      <c r="C60" s="224" t="str">
        <f t="shared" si="2"/>
        <v>July</v>
      </c>
      <c r="D60" s="252">
        <v>378800</v>
      </c>
      <c r="E60" s="252">
        <v>676394</v>
      </c>
      <c r="F60" s="225">
        <v>1180</v>
      </c>
      <c r="G60" s="225">
        <v>1123</v>
      </c>
      <c r="H60" s="225">
        <f t="shared" si="3"/>
        <v>77.0450610533989</v>
      </c>
      <c r="I60" s="225">
        <f t="shared" si="4"/>
        <v>45.3374697191662</v>
      </c>
      <c r="J60">
        <v>744</v>
      </c>
    </row>
    <row r="61" spans="1:12">
      <c r="A61" s="673"/>
      <c r="D61" s="684">
        <f>SUM(D49:D60)/8760</f>
        <v>580.710502283105</v>
      </c>
      <c r="E61" s="684">
        <f>SUM(E49:E60)/8760</f>
        <v>941.814497716895</v>
      </c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>
        <f>E61/1180*100</f>
        <v>79.8147879421097</v>
      </c>
      <c r="G62" s="691"/>
    </row>
    <row r="63" spans="1:25">
      <c r="A63" s="673"/>
      <c r="D63">
        <f>D61/1123</f>
        <v>0.517106413431082</v>
      </c>
      <c r="E63" s="579"/>
      <c r="F63" s="579">
        <f>E61/943*100</f>
        <v>99.8742839572529</v>
      </c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249977111117893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796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973</v>
      </c>
      <c r="G3" s="22"/>
      <c r="H3" s="23" t="s">
        <v>187</v>
      </c>
      <c r="I3" s="5" t="s">
        <v>188</v>
      </c>
      <c r="J3" s="35">
        <v>8346439</v>
      </c>
      <c r="K3" s="36" t="s">
        <v>189</v>
      </c>
      <c r="L3" s="1"/>
    </row>
    <row r="4" ht="21.75" customHeight="1" spans="1:12">
      <c r="A4" s="1"/>
      <c r="B4" s="6" t="s">
        <v>344</v>
      </c>
      <c r="C4" s="7"/>
      <c r="D4" s="7"/>
      <c r="E4" s="7"/>
      <c r="F4" s="216">
        <v>1180</v>
      </c>
      <c r="G4" s="216"/>
      <c r="H4" s="25" t="s">
        <v>187</v>
      </c>
      <c r="I4" s="7" t="s">
        <v>191</v>
      </c>
      <c r="J4" s="37">
        <v>3401882.43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85.8975097630105</v>
      </c>
      <c r="H6" s="27" t="s">
        <v>195</v>
      </c>
      <c r="I6" s="1"/>
      <c r="J6" s="40">
        <v>1570199.16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10.7237512945082</v>
      </c>
      <c r="H7" s="27" t="s">
        <v>195</v>
      </c>
      <c r="I7" s="1"/>
      <c r="J7" s="40">
        <v>196029.26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3.37873894248129</v>
      </c>
      <c r="H8" s="27" t="s">
        <v>195</v>
      </c>
      <c r="I8" s="1"/>
      <c r="J8" s="40">
        <v>61763.06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1827991.48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46.3617375936363</v>
      </c>
      <c r="H11" s="27" t="s">
        <v>195</v>
      </c>
      <c r="I11" s="1"/>
      <c r="J11" s="40">
        <v>681224.3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45.7696454243848</v>
      </c>
      <c r="F13" s="15" t="s">
        <v>204</v>
      </c>
      <c r="G13" s="31"/>
      <c r="H13" s="15"/>
      <c r="I13" s="15"/>
      <c r="J13" s="45">
        <v>662195.23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4.94617857647034</v>
      </c>
      <c r="H16" s="27" t="s">
        <v>195</v>
      </c>
      <c r="I16" s="1"/>
      <c r="J16" s="40">
        <v>72677.54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8.21829942623815</v>
      </c>
      <c r="H17" s="27" t="s">
        <v>195</v>
      </c>
      <c r="I17" s="1"/>
      <c r="J17" s="40">
        <v>120757.02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14.9769721664388</v>
      </c>
      <c r="H18" s="27" t="s">
        <v>195</v>
      </c>
      <c r="I18" s="1"/>
      <c r="J18" s="40">
        <v>220066.76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25.4968122372164</v>
      </c>
      <c r="H19" s="27" t="s">
        <v>195</v>
      </c>
      <c r="I19" s="1"/>
      <c r="J19" s="40">
        <v>374641.87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166884.53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3758</v>
      </c>
      <c r="K23" s="44" t="s">
        <v>196</v>
      </c>
      <c r="L23" s="15"/>
    </row>
    <row r="24" ht="21.75" customHeight="1" spans="1:14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35744.1</v>
      </c>
      <c r="K24" s="44" t="s">
        <v>196</v>
      </c>
      <c r="L24" s="15"/>
      <c r="N24" t="s">
        <v>77</v>
      </c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17072.95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46577.5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443.55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12756.51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79225.24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298</v>
      </c>
      <c r="K30" s="44" t="s">
        <v>196</v>
      </c>
      <c r="L30" s="15"/>
    </row>
    <row r="31" ht="21.75" customHeight="1" spans="1:14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11881.49</v>
      </c>
      <c r="K31" s="44" t="s">
        <v>196</v>
      </c>
      <c r="L31" s="15"/>
      <c r="N31" t="s">
        <v>77</v>
      </c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1469367.49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21.9014537816667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17.6047232837861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4.2967304978806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358623.99</v>
      </c>
      <c r="K37" s="43" t="s">
        <v>196</v>
      </c>
      <c r="L37" s="12"/>
    </row>
    <row r="38" ht="21.75" customHeight="1" spans="1:12">
      <c r="A38" s="1"/>
      <c r="B38" s="1" t="s">
        <v>348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599993896298105"/>
  </sheetPr>
  <dimension ref="A1:T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802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411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698" t="s">
        <v>354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98" t="s">
        <v>741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6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6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803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229" t="s">
        <v>283</v>
      </c>
      <c r="E13" s="67" t="s">
        <v>22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/>
      <c r="G14" s="68"/>
      <c r="H14" s="64"/>
      <c r="I14" s="57" t="s">
        <v>248</v>
      </c>
      <c r="J14" s="64"/>
      <c r="K14" s="161">
        <v>14910.1</v>
      </c>
      <c r="L14" s="120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250</v>
      </c>
      <c r="E15" s="69">
        <v>3535</v>
      </c>
      <c r="F15" s="69"/>
      <c r="G15" s="69"/>
      <c r="H15" s="98">
        <f>D15+E15+F15</f>
        <v>3785</v>
      </c>
      <c r="I15" s="57" t="s">
        <v>249</v>
      </c>
      <c r="J15" s="64"/>
      <c r="K15" s="701">
        <v>40.8495890410959</v>
      </c>
      <c r="L15" s="120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200</v>
      </c>
      <c r="E16" s="69">
        <v>2830</v>
      </c>
      <c r="F16" s="69"/>
      <c r="G16" s="69"/>
      <c r="H16" s="98">
        <f>D16+E16+F16</f>
        <v>3030</v>
      </c>
      <c r="I16" s="56" t="s">
        <v>157</v>
      </c>
      <c r="J16" s="56"/>
      <c r="K16" s="701">
        <v>0.617031408240052</v>
      </c>
      <c r="L16" s="123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/>
      <c r="G17" s="70"/>
      <c r="H17" s="98"/>
      <c r="I17" s="56" t="s">
        <v>437</v>
      </c>
      <c r="J17" s="56"/>
      <c r="K17" s="701">
        <v>10.7946962126344</v>
      </c>
      <c r="L17" s="123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3500</v>
      </c>
      <c r="F18" s="71"/>
      <c r="G18" s="71"/>
      <c r="H18" s="98">
        <f>D18+E18+F18</f>
        <v>3500</v>
      </c>
      <c r="I18" s="56" t="s">
        <v>58</v>
      </c>
      <c r="J18" s="56"/>
      <c r="K18" s="701">
        <v>44.8326972991462</v>
      </c>
      <c r="L18" s="123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155</v>
      </c>
      <c r="J19" s="56"/>
      <c r="K19" s="701">
        <v>22.0186316657836</v>
      </c>
      <c r="L19" s="123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 t="s">
        <v>250</v>
      </c>
      <c r="J20" s="56"/>
      <c r="K20" s="701">
        <v>21.7369434141957</v>
      </c>
      <c r="L20" s="123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10.896</v>
      </c>
      <c r="E21" s="75">
        <v>9.82</v>
      </c>
      <c r="F21" s="77"/>
      <c r="G21" s="77"/>
      <c r="H21" s="102"/>
      <c r="I21" s="56"/>
      <c r="J21" s="56"/>
      <c r="K21" s="702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78.599</v>
      </c>
      <c r="E22" s="75">
        <v>75.63</v>
      </c>
      <c r="F22" s="77"/>
      <c r="G22" s="77"/>
      <c r="H22" s="102"/>
      <c r="I22" s="56"/>
      <c r="J22" s="56"/>
      <c r="K22" s="702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8"/>
      <c r="E23" s="77"/>
      <c r="F23" s="77"/>
      <c r="G23" s="78"/>
      <c r="H23" s="75" t="s">
        <v>314</v>
      </c>
      <c r="I23" s="125" t="s">
        <v>76</v>
      </c>
      <c r="J23" s="56"/>
      <c r="K23" s="237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8"/>
      <c r="E24" s="77"/>
      <c r="F24" s="77"/>
      <c r="G24" s="78"/>
      <c r="H24" s="699" t="s">
        <v>804</v>
      </c>
      <c r="I24" s="127" t="s">
        <v>80</v>
      </c>
      <c r="J24" s="56"/>
      <c r="K24" s="122">
        <v>26.8787153754384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699" t="s">
        <v>712</v>
      </c>
      <c r="I25" s="128" t="s">
        <v>83</v>
      </c>
      <c r="J25" s="56"/>
      <c r="K25" s="122">
        <v>91.7451168953039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700" t="s">
        <v>360</v>
      </c>
      <c r="I26" s="57" t="s">
        <v>86</v>
      </c>
      <c r="J26" s="56"/>
      <c r="K26" s="122">
        <v>74.1735542449841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75" t="s">
        <v>338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75" t="s">
        <v>357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7.33</v>
      </c>
      <c r="E29" s="75">
        <v>8.02</v>
      </c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42</v>
      </c>
      <c r="E30" s="77">
        <v>42.65</v>
      </c>
      <c r="F30" s="77"/>
      <c r="G30" s="77"/>
      <c r="H30" s="78"/>
      <c r="I30" s="66" t="s">
        <v>96</v>
      </c>
      <c r="J30" s="92"/>
      <c r="K30" s="135">
        <v>5100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80"/>
      <c r="E31" s="75">
        <v>3.6947</v>
      </c>
      <c r="F31" s="75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80"/>
      <c r="E32" s="75">
        <v>5.53</v>
      </c>
      <c r="F32" s="75"/>
      <c r="G32" s="80"/>
      <c r="H32" s="78"/>
      <c r="I32" s="66" t="s">
        <v>66</v>
      </c>
      <c r="J32" s="92"/>
      <c r="K32" s="135">
        <v>4500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69">
        <v>9016</v>
      </c>
      <c r="E33" s="77">
        <v>297</v>
      </c>
      <c r="F33" s="80"/>
      <c r="G33" s="80"/>
      <c r="H33" s="78"/>
      <c r="I33" s="57" t="s">
        <v>103</v>
      </c>
      <c r="J33" s="64"/>
      <c r="K33" s="136">
        <v>3.4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1.01</v>
      </c>
      <c r="E34" s="80">
        <v>0.14</v>
      </c>
      <c r="F34" s="80"/>
      <c r="G34" s="80"/>
      <c r="H34" s="78"/>
      <c r="I34" s="66" t="s">
        <v>105</v>
      </c>
      <c r="J34" s="64"/>
      <c r="K34" s="137">
        <v>7.83412823322406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71.8610463660579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50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52.2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145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145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600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58</v>
      </c>
    </row>
    <row r="44" ht="15" customHeight="1" spans="1:17">
      <c r="A44" s="157"/>
      <c r="B44" s="66" t="s">
        <v>125</v>
      </c>
      <c r="C44" s="64" t="s">
        <v>122</v>
      </c>
      <c r="D44" s="77">
        <v>598</v>
      </c>
      <c r="E44" s="77"/>
      <c r="F44" s="77"/>
      <c r="G44" s="78"/>
      <c r="H44" s="102"/>
      <c r="I44" s="148" t="s">
        <v>126</v>
      </c>
      <c r="J44" s="64"/>
      <c r="K44" s="134"/>
      <c r="L44" s="120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42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42</v>
      </c>
      <c r="E46" s="78"/>
      <c r="F46" s="78"/>
      <c r="G46" s="78"/>
      <c r="H46" s="102"/>
      <c r="I46" s="66"/>
      <c r="J46" s="64" t="s">
        <v>131</v>
      </c>
      <c r="K46" s="79">
        <v>170.674576293922</v>
      </c>
      <c r="L46" s="147">
        <v>89.1101737947845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0"/>
      <c r="G47" s="70"/>
      <c r="H47" s="70"/>
      <c r="I47" s="66"/>
      <c r="J47" s="64" t="s">
        <v>134</v>
      </c>
      <c r="K47" s="79">
        <v>717.324110012294</v>
      </c>
      <c r="L47" s="147">
        <v>374.519026198169</v>
      </c>
    </row>
    <row r="48" ht="15" customHeight="1" spans="1:13">
      <c r="A48" s="157"/>
      <c r="B48" s="66" t="s">
        <v>135</v>
      </c>
      <c r="C48" s="64" t="s">
        <v>240</v>
      </c>
      <c r="D48" s="69">
        <v>8595</v>
      </c>
      <c r="E48" s="69"/>
      <c r="F48" s="78"/>
      <c r="G48" s="78"/>
      <c r="H48" s="102"/>
      <c r="I48" s="148" t="s">
        <v>137</v>
      </c>
      <c r="J48" s="64"/>
      <c r="K48" s="134"/>
      <c r="L48" s="120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5153000/D43</f>
        <v>8588.33333333333</v>
      </c>
      <c r="E49" s="69"/>
      <c r="F49" s="77"/>
      <c r="G49" s="69"/>
      <c r="H49" s="98"/>
      <c r="I49" s="66"/>
      <c r="J49" s="64" t="s">
        <v>139</v>
      </c>
      <c r="K49" s="150">
        <f>4363015/365</f>
        <v>11953.4657534247</v>
      </c>
      <c r="L49" s="231"/>
    </row>
    <row r="50" ht="15" customHeight="1" spans="1:20">
      <c r="A50" s="157"/>
      <c r="B50" s="57" t="s">
        <v>140</v>
      </c>
      <c r="C50" s="64" t="s">
        <v>59</v>
      </c>
      <c r="D50" s="77">
        <f>D49/8760*100</f>
        <v>98.0403348554034</v>
      </c>
      <c r="E50" s="77"/>
      <c r="F50" s="77"/>
      <c r="G50" s="77"/>
      <c r="H50" s="77"/>
      <c r="I50" s="66"/>
      <c r="J50" s="64" t="s">
        <v>141</v>
      </c>
      <c r="K50" s="150">
        <f>K49/K15</f>
        <v>292.621444524182</v>
      </c>
      <c r="L50" s="120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523856</v>
      </c>
      <c r="D55" s="69">
        <f>C55/(D49*D43+E49*E43+F49*F43+G49*G43+H49*H43)*100</f>
        <v>10.1660392004657</v>
      </c>
      <c r="E55" s="111" t="s">
        <v>147</v>
      </c>
      <c r="F55" s="64"/>
      <c r="G55" s="64" t="s">
        <v>148</v>
      </c>
      <c r="H55" s="64"/>
      <c r="I55" s="69">
        <v>889670</v>
      </c>
      <c r="J55" s="69">
        <f>I55/(D49*D44+E49*E44+F49*F44+G49*G44+H49*H44)*100</f>
        <v>17.3228310683065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805</v>
      </c>
      <c r="H56" s="64"/>
      <c r="I56" s="69">
        <v>3116000</v>
      </c>
      <c r="J56" s="69">
        <f>I56/(D49*D44+E49*E44+F49*F44+G49*G44+H49*H44)*100</f>
        <v>60.671868905148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1">
    <mergeCell ref="B2:L2"/>
  </mergeCells>
  <pageMargins left="0.7" right="0.7" top="0.787401575" bottom="0.787401575" header="0.3" footer="0.3"/>
  <pageSetup paperSize="9" orientation="portrait"/>
  <headerFooter/>
  <ignoredErrors>
    <ignoredError sqref="C5" numberStoredAsText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599993896298105"/>
  </sheetPr>
  <dimension ref="A1:AJ66"/>
  <sheetViews>
    <sheetView zoomScale="85" zoomScaleNormal="85" workbookViewId="0">
      <selection activeCell="A1" sqref="A1:A18"/>
    </sheetView>
  </sheetViews>
  <sheetFormatPr defaultColWidth="11.5" defaultRowHeight="16.8"/>
  <cols>
    <col min="2" max="3" width="16.5" customWidth="1"/>
    <col min="5" max="5" width="11.5" customWidth="1"/>
    <col min="8" max="8" width="12.1634615384615" customWidth="1"/>
    <col min="10" max="10" width="16.6634615384615" customWidth="1"/>
  </cols>
  <sheetData>
    <row r="1" spans="1:36">
      <c r="A1" s="670" t="s">
        <v>151</v>
      </c>
      <c r="B1" s="671"/>
      <c r="C1" s="672" t="s">
        <v>152</v>
      </c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 t="s">
        <v>153</v>
      </c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672"/>
      <c r="AF1" s="672"/>
      <c r="AG1" s="672"/>
      <c r="AH1" s="696"/>
      <c r="AI1" s="204"/>
      <c r="AJ1" s="204"/>
    </row>
    <row r="2" ht="15" customHeight="1" spans="1:34">
      <c r="A2" s="673"/>
      <c r="B2" t="s">
        <v>154</v>
      </c>
      <c r="C2" t="s">
        <v>154</v>
      </c>
      <c r="D2" t="s">
        <v>155</v>
      </c>
      <c r="E2" t="s">
        <v>155</v>
      </c>
      <c r="F2" t="s">
        <v>58</v>
      </c>
      <c r="G2" t="s">
        <v>156</v>
      </c>
      <c r="H2" t="s">
        <v>68</v>
      </c>
      <c r="I2" t="s">
        <v>157</v>
      </c>
      <c r="J2" t="s">
        <v>321</v>
      </c>
      <c r="K2" t="s">
        <v>159</v>
      </c>
      <c r="L2" t="s">
        <v>159</v>
      </c>
      <c r="M2" t="s">
        <v>159</v>
      </c>
      <c r="N2" t="s">
        <v>159</v>
      </c>
      <c r="O2" t="s">
        <v>159</v>
      </c>
      <c r="P2" t="s">
        <v>437</v>
      </c>
      <c r="Q2" t="s">
        <v>161</v>
      </c>
      <c r="R2" t="s">
        <v>250</v>
      </c>
      <c r="S2" t="s">
        <v>162</v>
      </c>
      <c r="T2" t="s">
        <v>163</v>
      </c>
      <c r="U2" t="s">
        <v>322</v>
      </c>
      <c r="Z2" t="s">
        <v>164</v>
      </c>
      <c r="AB2" t="s">
        <v>165</v>
      </c>
      <c r="AC2" s="544"/>
      <c r="AD2" s="544"/>
      <c r="AH2" s="694"/>
    </row>
    <row r="3" spans="1:34">
      <c r="A3" s="673"/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AH3" s="694"/>
    </row>
    <row r="4" ht="15" customHeight="1" spans="1:35">
      <c r="A4" s="673"/>
      <c r="B4" s="222">
        <v>42948</v>
      </c>
      <c r="C4" s="219" t="s">
        <v>176</v>
      </c>
      <c r="D4" s="674"/>
      <c r="E4" s="674">
        <v>25.1417139046349</v>
      </c>
      <c r="F4" s="674">
        <v>42.7142380793598</v>
      </c>
      <c r="G4" s="674"/>
      <c r="H4" s="674"/>
      <c r="I4" s="674">
        <v>0</v>
      </c>
      <c r="J4" s="674"/>
      <c r="K4" s="674"/>
      <c r="L4" s="674"/>
      <c r="M4" s="674"/>
      <c r="N4" s="674"/>
      <c r="O4" s="674"/>
      <c r="P4" s="674">
        <v>7.20240080026676</v>
      </c>
      <c r="Q4" s="674"/>
      <c r="R4" s="674">
        <v>24.9416472157386</v>
      </c>
      <c r="S4" s="674"/>
      <c r="T4" s="674"/>
      <c r="U4" s="674"/>
      <c r="Y4" s="219"/>
      <c r="Z4" s="203">
        <v>48.3709677419355</v>
      </c>
      <c r="AA4" s="203"/>
      <c r="AB4" s="203">
        <f>SUM(D4:O4)</f>
        <v>67.8559519839947</v>
      </c>
      <c r="AC4" s="203"/>
      <c r="AD4" s="203"/>
      <c r="AE4" s="203"/>
      <c r="AF4" s="203"/>
      <c r="AG4" s="203"/>
      <c r="AH4" s="697"/>
      <c r="AI4" s="203"/>
    </row>
    <row r="5" spans="1:35">
      <c r="A5" s="673"/>
      <c r="B5" s="222">
        <v>42979</v>
      </c>
      <c r="C5" s="219" t="s">
        <v>177</v>
      </c>
      <c r="D5" s="203"/>
      <c r="E5" s="203">
        <v>26.2913702443551</v>
      </c>
      <c r="F5" s="203">
        <v>21.0021651716672</v>
      </c>
      <c r="G5" s="203"/>
      <c r="H5" s="203"/>
      <c r="I5" s="203">
        <v>0</v>
      </c>
      <c r="J5" s="203"/>
      <c r="K5" s="203"/>
      <c r="L5" s="203"/>
      <c r="M5" s="203"/>
      <c r="N5" s="203"/>
      <c r="O5" s="203"/>
      <c r="P5" s="203">
        <v>6.18620476337767</v>
      </c>
      <c r="Q5" s="203"/>
      <c r="R5" s="203">
        <v>46.5202598206001</v>
      </c>
      <c r="S5" s="203"/>
      <c r="T5" s="203"/>
      <c r="U5" s="203"/>
      <c r="Y5" s="219"/>
      <c r="Z5" s="203">
        <v>53.8833333333333</v>
      </c>
      <c r="AA5" s="203"/>
      <c r="AB5" s="203">
        <f t="shared" ref="AB5:AB15" si="0">SUM(D5:O5)</f>
        <v>47.2935354160223</v>
      </c>
      <c r="AC5" s="203"/>
      <c r="AD5" s="203"/>
      <c r="AE5" s="203"/>
      <c r="AF5" s="203"/>
      <c r="AG5" s="203"/>
      <c r="AH5" s="697"/>
      <c r="AI5" s="203"/>
    </row>
    <row r="6" spans="1:35">
      <c r="A6" s="673"/>
      <c r="B6" s="222">
        <v>43009</v>
      </c>
      <c r="C6" s="219" t="s">
        <v>166</v>
      </c>
      <c r="D6" s="203"/>
      <c r="E6" s="203">
        <v>22.3837627752987</v>
      </c>
      <c r="F6" s="203">
        <v>3.41154455160501</v>
      </c>
      <c r="G6" s="203"/>
      <c r="H6" s="203"/>
      <c r="I6" s="203">
        <v>0</v>
      </c>
      <c r="J6" s="203"/>
      <c r="K6" s="203"/>
      <c r="L6" s="203"/>
      <c r="M6" s="203"/>
      <c r="N6" s="203"/>
      <c r="O6" s="203"/>
      <c r="P6" s="203">
        <v>10.1482654383187</v>
      </c>
      <c r="Q6" s="203"/>
      <c r="R6" s="203">
        <v>64.0564272347776</v>
      </c>
      <c r="S6" s="203"/>
      <c r="T6" s="203"/>
      <c r="U6" s="203"/>
      <c r="Y6" s="219"/>
      <c r="Z6" s="203">
        <v>44.8193548387097</v>
      </c>
      <c r="AA6" s="203"/>
      <c r="AB6" s="203">
        <f t="shared" si="0"/>
        <v>25.7953073269037</v>
      </c>
      <c r="AC6" s="203"/>
      <c r="AD6" s="203"/>
      <c r="AE6" s="203"/>
      <c r="AF6" s="203"/>
      <c r="AG6" s="203"/>
      <c r="AH6" s="697"/>
      <c r="AI6" s="203"/>
    </row>
    <row r="7" spans="1:35">
      <c r="A7" s="673"/>
      <c r="B7" s="222">
        <v>43040</v>
      </c>
      <c r="C7" s="219" t="s">
        <v>167</v>
      </c>
      <c r="D7" s="203"/>
      <c r="E7" s="203">
        <v>21.7108783732131</v>
      </c>
      <c r="F7" s="203">
        <v>26.8328109471753</v>
      </c>
      <c r="G7" s="203"/>
      <c r="H7" s="203"/>
      <c r="I7" s="203">
        <v>0</v>
      </c>
      <c r="J7" s="203"/>
      <c r="K7" s="203"/>
      <c r="L7" s="203"/>
      <c r="M7" s="203"/>
      <c r="N7" s="203"/>
      <c r="O7" s="203"/>
      <c r="P7" s="203">
        <v>11.4746579007721</v>
      </c>
      <c r="Q7" s="203"/>
      <c r="R7" s="203">
        <v>39.9816527788395</v>
      </c>
      <c r="S7" s="203"/>
      <c r="T7" s="203"/>
      <c r="U7" s="203"/>
      <c r="Y7" s="219"/>
      <c r="Z7" s="203">
        <v>43.6033333333333</v>
      </c>
      <c r="AA7" s="203"/>
      <c r="AB7" s="203">
        <f t="shared" si="0"/>
        <v>48.5436893203884</v>
      </c>
      <c r="AC7" s="203"/>
      <c r="AD7" s="203"/>
      <c r="AE7" s="203"/>
      <c r="AF7" s="203"/>
      <c r="AG7" s="203"/>
      <c r="AH7" s="697"/>
      <c r="AI7" s="203"/>
    </row>
    <row r="8" spans="1:35">
      <c r="A8" s="673"/>
      <c r="B8" s="222">
        <v>43070</v>
      </c>
      <c r="C8" s="219" t="s">
        <v>168</v>
      </c>
      <c r="D8" s="203"/>
      <c r="E8" s="203">
        <v>19.998412824379</v>
      </c>
      <c r="F8" s="203">
        <v>35.3146575668598</v>
      </c>
      <c r="G8" s="203"/>
      <c r="H8" s="203"/>
      <c r="I8" s="203">
        <v>0</v>
      </c>
      <c r="J8" s="203"/>
      <c r="K8" s="203"/>
      <c r="L8" s="203"/>
      <c r="M8" s="203"/>
      <c r="N8" s="203"/>
      <c r="O8" s="203"/>
      <c r="P8" s="203">
        <v>12.943417189112</v>
      </c>
      <c r="Q8" s="203"/>
      <c r="R8" s="203">
        <v>31.7435124196492</v>
      </c>
      <c r="S8" s="203"/>
      <c r="T8" s="203"/>
      <c r="U8" s="203"/>
      <c r="Y8" s="219"/>
      <c r="Z8" s="203">
        <v>40.6483870967742</v>
      </c>
      <c r="AA8" s="203"/>
      <c r="AB8" s="203">
        <f t="shared" si="0"/>
        <v>55.3130703912388</v>
      </c>
      <c r="AC8" s="203"/>
      <c r="AD8" s="203"/>
      <c r="AE8" s="203"/>
      <c r="AF8" s="203"/>
      <c r="AG8" s="203"/>
      <c r="AH8" s="697"/>
      <c r="AI8" s="203"/>
    </row>
    <row r="9" spans="1:35">
      <c r="A9" s="673"/>
      <c r="B9" s="222">
        <v>43101</v>
      </c>
      <c r="C9" s="219" t="s">
        <v>169</v>
      </c>
      <c r="D9" s="203"/>
      <c r="E9" s="203">
        <v>19.4501436192039</v>
      </c>
      <c r="F9" s="203">
        <v>42.3471481329503</v>
      </c>
      <c r="G9" s="203"/>
      <c r="H9" s="203"/>
      <c r="I9" s="203">
        <v>0</v>
      </c>
      <c r="J9" s="203"/>
      <c r="K9" s="203"/>
      <c r="L9" s="203"/>
      <c r="M9" s="203"/>
      <c r="N9" s="203"/>
      <c r="O9" s="203"/>
      <c r="P9" s="203">
        <v>13.4181370537546</v>
      </c>
      <c r="Q9" s="203"/>
      <c r="R9" s="203">
        <v>24.7845711940911</v>
      </c>
      <c r="S9" s="203"/>
      <c r="T9" s="203"/>
      <c r="U9" s="203"/>
      <c r="Y9" s="219"/>
      <c r="Z9" s="203">
        <v>39.3064516129032</v>
      </c>
      <c r="AA9" s="203"/>
      <c r="AB9" s="203">
        <f t="shared" si="0"/>
        <v>61.7972917521543</v>
      </c>
      <c r="AC9" s="203"/>
      <c r="AD9" s="203"/>
      <c r="AE9" s="203"/>
      <c r="AF9" s="203"/>
      <c r="AG9" s="203"/>
      <c r="AH9" s="697"/>
      <c r="AI9" s="203"/>
    </row>
    <row r="10" spans="1:35">
      <c r="A10" s="673"/>
      <c r="B10" s="222">
        <v>43132</v>
      </c>
      <c r="C10" s="219" t="s">
        <v>170</v>
      </c>
      <c r="D10" s="203"/>
      <c r="E10" s="203">
        <v>20.0803212851406</v>
      </c>
      <c r="F10" s="203">
        <v>66.6164658634538</v>
      </c>
      <c r="G10" s="203"/>
      <c r="H10" s="203"/>
      <c r="I10" s="203">
        <v>0</v>
      </c>
      <c r="J10" s="203"/>
      <c r="K10" s="203"/>
      <c r="L10" s="203"/>
      <c r="M10" s="203"/>
      <c r="N10" s="203"/>
      <c r="O10" s="203"/>
      <c r="P10" s="203">
        <v>13.3032128514056</v>
      </c>
      <c r="Q10" s="203"/>
      <c r="R10" s="203">
        <v>0</v>
      </c>
      <c r="S10" s="203"/>
      <c r="T10" s="203"/>
      <c r="U10" s="203"/>
      <c r="Y10" s="219"/>
      <c r="Z10" s="203">
        <v>35.5714285714286</v>
      </c>
      <c r="AA10" s="203"/>
      <c r="AB10" s="203">
        <f t="shared" si="0"/>
        <v>86.6967871485944</v>
      </c>
      <c r="AC10" s="203"/>
      <c r="AD10" s="203"/>
      <c r="AE10" s="203"/>
      <c r="AF10" s="203"/>
      <c r="AG10" s="203"/>
      <c r="AH10" s="697"/>
      <c r="AI10" s="203"/>
    </row>
    <row r="11" spans="1:35">
      <c r="A11" s="673"/>
      <c r="B11" s="222">
        <v>43160</v>
      </c>
      <c r="C11" s="219" t="s">
        <v>171</v>
      </c>
      <c r="D11" s="203"/>
      <c r="E11" s="203">
        <v>15.6956637403565</v>
      </c>
      <c r="F11" s="203">
        <v>66.9504300789217</v>
      </c>
      <c r="G11" s="203"/>
      <c r="H11" s="203"/>
      <c r="I11" s="203">
        <v>0</v>
      </c>
      <c r="J11" s="203"/>
      <c r="K11" s="203"/>
      <c r="L11" s="203"/>
      <c r="M11" s="203"/>
      <c r="N11" s="203"/>
      <c r="O11" s="203"/>
      <c r="P11" s="203">
        <v>17.3539061807218</v>
      </c>
      <c r="Q11" s="203"/>
      <c r="R11" s="203">
        <v>0</v>
      </c>
      <c r="S11" s="203"/>
      <c r="T11" s="203"/>
      <c r="U11" s="203"/>
      <c r="Y11" s="219"/>
      <c r="Z11" s="203">
        <v>36.3774193548387</v>
      </c>
      <c r="AA11" s="203"/>
      <c r="AB11" s="203">
        <f t="shared" si="0"/>
        <v>82.6460938192782</v>
      </c>
      <c r="AC11" s="203"/>
      <c r="AD11" s="203"/>
      <c r="AE11" s="203"/>
      <c r="AF11" s="203"/>
      <c r="AG11" s="203"/>
      <c r="AH11" s="697"/>
      <c r="AI11" s="203"/>
    </row>
    <row r="12" spans="1:35">
      <c r="A12" s="673"/>
      <c r="B12" s="222">
        <v>43191</v>
      </c>
      <c r="C12" s="219" t="s">
        <v>172</v>
      </c>
      <c r="D12" s="203"/>
      <c r="E12" s="203">
        <v>16.9610975380568</v>
      </c>
      <c r="F12" s="203">
        <v>66.857733508739</v>
      </c>
      <c r="G12" s="203"/>
      <c r="H12" s="203"/>
      <c r="I12" s="203">
        <v>0</v>
      </c>
      <c r="J12" s="203"/>
      <c r="K12" s="203"/>
      <c r="L12" s="203"/>
      <c r="M12" s="203"/>
      <c r="N12" s="203"/>
      <c r="O12" s="203"/>
      <c r="P12" s="203">
        <v>16.1811689532043</v>
      </c>
      <c r="Q12" s="203"/>
      <c r="R12" s="203">
        <v>0</v>
      </c>
      <c r="S12" s="203"/>
      <c r="T12" s="203"/>
      <c r="U12" s="203"/>
      <c r="Y12" s="219"/>
      <c r="Z12" s="203">
        <v>35.4733333333333</v>
      </c>
      <c r="AA12" s="203"/>
      <c r="AB12" s="203">
        <f t="shared" si="0"/>
        <v>83.8188310467957</v>
      </c>
      <c r="AC12" s="203"/>
      <c r="AD12" s="203"/>
      <c r="AE12" s="203"/>
      <c r="AF12" s="203"/>
      <c r="AG12" s="203"/>
      <c r="AH12" s="697"/>
      <c r="AI12" s="203"/>
    </row>
    <row r="13" spans="1:35">
      <c r="A13" s="673"/>
      <c r="B13" s="222">
        <v>43221</v>
      </c>
      <c r="C13" s="219" t="s">
        <v>173</v>
      </c>
      <c r="D13" s="203"/>
      <c r="E13" s="203">
        <v>26.1520939197477</v>
      </c>
      <c r="F13" s="203">
        <v>67.1105659716138</v>
      </c>
      <c r="G13" s="203"/>
      <c r="H13" s="203"/>
      <c r="I13" s="203">
        <v>0</v>
      </c>
      <c r="J13" s="203"/>
      <c r="K13" s="203"/>
      <c r="L13" s="203"/>
      <c r="M13" s="203"/>
      <c r="N13" s="203"/>
      <c r="O13" s="203"/>
      <c r="P13" s="203">
        <v>6.73734010863851</v>
      </c>
      <c r="Q13" s="203"/>
      <c r="R13" s="203">
        <v>0</v>
      </c>
      <c r="S13" s="203"/>
      <c r="T13" s="203"/>
      <c r="U13" s="203"/>
      <c r="Y13" s="219"/>
      <c r="Z13" s="203">
        <v>36.8193548387097</v>
      </c>
      <c r="AA13" s="203"/>
      <c r="AB13" s="203">
        <f t="shared" si="0"/>
        <v>93.2626598913615</v>
      </c>
      <c r="AC13" s="203"/>
      <c r="AD13" s="203"/>
      <c r="AE13" s="203"/>
      <c r="AF13" s="203"/>
      <c r="AG13" s="203"/>
      <c r="AH13" s="697"/>
      <c r="AI13" s="203"/>
    </row>
    <row r="14" spans="1:35">
      <c r="A14" s="673"/>
      <c r="B14" s="222">
        <v>43252</v>
      </c>
      <c r="C14" s="219" t="s">
        <v>174</v>
      </c>
      <c r="D14" s="203"/>
      <c r="E14" s="203">
        <v>23.8538948937756</v>
      </c>
      <c r="F14" s="203">
        <v>67.0145359672009</v>
      </c>
      <c r="G14" s="203"/>
      <c r="H14" s="203"/>
      <c r="I14" s="203">
        <v>0</v>
      </c>
      <c r="J14" s="203"/>
      <c r="K14" s="203"/>
      <c r="L14" s="203"/>
      <c r="M14" s="203"/>
      <c r="N14" s="203"/>
      <c r="O14" s="203"/>
      <c r="P14" s="203">
        <v>9.13156913902348</v>
      </c>
      <c r="Q14" s="203"/>
      <c r="R14" s="203">
        <v>0</v>
      </c>
      <c r="S14" s="203"/>
      <c r="T14" s="203"/>
      <c r="U14" s="203"/>
      <c r="Y14" s="219"/>
      <c r="Z14" s="203">
        <v>35.7733333333333</v>
      </c>
      <c r="AA14" s="203"/>
      <c r="AB14" s="203">
        <f t="shared" si="0"/>
        <v>90.8684308609765</v>
      </c>
      <c r="AC14" s="203"/>
      <c r="AD14" s="203"/>
      <c r="AE14" s="203"/>
      <c r="AF14" s="203"/>
      <c r="AG14" s="203"/>
      <c r="AH14" s="697"/>
      <c r="AI14" s="203"/>
    </row>
    <row r="15" spans="1:35">
      <c r="A15" s="673"/>
      <c r="B15" s="222">
        <v>43282</v>
      </c>
      <c r="C15" s="219" t="s">
        <v>175</v>
      </c>
      <c r="D15" s="259"/>
      <c r="E15" s="259">
        <v>23.4471410941999</v>
      </c>
      <c r="F15" s="259">
        <v>60.0575894693542</v>
      </c>
      <c r="G15" s="259"/>
      <c r="H15" s="259"/>
      <c r="I15" s="259">
        <v>7.56890168654875</v>
      </c>
      <c r="J15" s="259"/>
      <c r="K15" s="259"/>
      <c r="L15" s="259"/>
      <c r="M15" s="259"/>
      <c r="N15" s="259"/>
      <c r="O15" s="259"/>
      <c r="P15" s="259">
        <v>8.92636774989717</v>
      </c>
      <c r="Q15" s="259"/>
      <c r="R15" s="259">
        <v>0</v>
      </c>
      <c r="S15" s="259"/>
      <c r="T15" s="259"/>
      <c r="U15" s="259"/>
      <c r="Z15" s="203">
        <v>39.2096774193548</v>
      </c>
      <c r="AA15" s="203"/>
      <c r="AB15" s="203">
        <f t="shared" si="0"/>
        <v>91.0736322501028</v>
      </c>
      <c r="AC15" s="203"/>
      <c r="AD15" s="203"/>
      <c r="AE15" s="203"/>
      <c r="AF15" s="203"/>
      <c r="AG15" s="203"/>
      <c r="AH15" s="697"/>
      <c r="AI15" s="203"/>
    </row>
    <row r="16" spans="1:34">
      <c r="A16" s="673"/>
      <c r="AH16" s="694"/>
    </row>
    <row r="17" spans="1:34">
      <c r="A17" s="673"/>
      <c r="AH17" s="694"/>
    </row>
    <row r="18" spans="1:34">
      <c r="A18" s="673"/>
      <c r="AH18" s="694"/>
    </row>
    <row r="19" spans="1:34">
      <c r="A19" s="673"/>
      <c r="AH19" s="694"/>
    </row>
    <row r="20" spans="1:34">
      <c r="A20" s="675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AH20" s="694"/>
    </row>
    <row r="21" spans="1:34">
      <c r="A21" s="673"/>
      <c r="AH21" s="694"/>
    </row>
    <row r="22" ht="17.55" spans="1:34">
      <c r="A22" s="677"/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8"/>
      <c r="AF22" s="678"/>
      <c r="AG22" s="678"/>
      <c r="AH22" s="695"/>
    </row>
    <row r="23" spans="1:29">
      <c r="A23" s="679"/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680"/>
      <c r="Y23" s="680"/>
      <c r="Z23" s="680"/>
      <c r="AA23" s="680"/>
      <c r="AB23" s="680"/>
      <c r="AC23" s="693"/>
    </row>
    <row r="24" spans="1:29">
      <c r="A24" s="681"/>
      <c r="AC24" s="694"/>
    </row>
    <row r="25" ht="17" spans="1:29">
      <c r="A25" s="673" t="s">
        <v>151</v>
      </c>
      <c r="D25" s="48" t="s">
        <v>104</v>
      </c>
      <c r="E25" t="s">
        <v>22</v>
      </c>
      <c r="F25" t="s">
        <v>178</v>
      </c>
      <c r="AC25" s="694"/>
    </row>
    <row r="26" spans="1:29">
      <c r="A26" s="673"/>
      <c r="D26" s="48"/>
      <c r="E26" s="218" t="s">
        <v>62</v>
      </c>
      <c r="F26" s="218" t="s">
        <v>62</v>
      </c>
      <c r="G26" s="21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AC26" s="694"/>
    </row>
    <row r="27" spans="1:29">
      <c r="A27" s="673"/>
      <c r="B27" s="204"/>
      <c r="C27" s="204"/>
      <c r="G27" s="218"/>
      <c r="H27" s="218"/>
      <c r="I27" s="218"/>
      <c r="J27" s="218"/>
      <c r="K27" s="218"/>
      <c r="L27" s="218"/>
      <c r="M27" s="218"/>
      <c r="N27" s="218"/>
      <c r="O27" s="218"/>
      <c r="AC27" s="694"/>
    </row>
    <row r="28" spans="1:29">
      <c r="A28" s="673"/>
      <c r="B28" s="219"/>
      <c r="C28" s="219"/>
      <c r="D28" s="682">
        <f>B4</f>
        <v>42948</v>
      </c>
      <c r="E28" s="685">
        <v>0.133333333333333</v>
      </c>
      <c r="F28" s="685"/>
      <c r="G28" s="199"/>
      <c r="H28" s="191"/>
      <c r="I28" s="191"/>
      <c r="J28" s="191"/>
      <c r="AC28" s="694"/>
    </row>
    <row r="29" spans="1:29">
      <c r="A29" s="673"/>
      <c r="B29" s="219"/>
      <c r="C29" s="219"/>
      <c r="D29" s="682">
        <f t="shared" ref="D29:D39" si="1">B5</f>
        <v>42979</v>
      </c>
      <c r="E29" s="685">
        <v>0.15</v>
      </c>
      <c r="F29" s="685"/>
      <c r="G29" s="199"/>
      <c r="H29" s="191"/>
      <c r="I29" s="191"/>
      <c r="J29" s="191"/>
      <c r="AC29" s="694"/>
    </row>
    <row r="30" spans="1:29">
      <c r="A30" s="673"/>
      <c r="B30" s="219"/>
      <c r="C30" s="219"/>
      <c r="D30" s="682">
        <f t="shared" si="1"/>
        <v>43009</v>
      </c>
      <c r="E30" s="685">
        <v>0.18</v>
      </c>
      <c r="F30" s="685"/>
      <c r="G30" s="199"/>
      <c r="H30" s="191"/>
      <c r="I30" s="191"/>
      <c r="J30" s="191"/>
      <c r="AC30" s="694"/>
    </row>
    <row r="31" spans="1:29">
      <c r="A31" s="673"/>
      <c r="B31" s="219"/>
      <c r="C31" s="219"/>
      <c r="D31" s="682">
        <f t="shared" si="1"/>
        <v>43040</v>
      </c>
      <c r="E31" s="685">
        <v>0.105</v>
      </c>
      <c r="F31" s="685"/>
      <c r="G31" s="199"/>
      <c r="H31" s="191"/>
      <c r="I31" s="191"/>
      <c r="J31" s="191"/>
      <c r="AC31" s="694"/>
    </row>
    <row r="32" spans="1:29">
      <c r="A32" s="673"/>
      <c r="B32" s="219"/>
      <c r="C32" s="219"/>
      <c r="D32" s="682">
        <f t="shared" si="1"/>
        <v>43070</v>
      </c>
      <c r="E32" s="685">
        <v>0.12</v>
      </c>
      <c r="F32" s="685"/>
      <c r="G32" s="199"/>
      <c r="H32" s="191"/>
      <c r="I32" s="191"/>
      <c r="J32" s="191"/>
      <c r="AC32" s="694"/>
    </row>
    <row r="33" spans="1:29">
      <c r="A33" s="673"/>
      <c r="B33" s="219"/>
      <c r="C33" s="219"/>
      <c r="D33" s="682">
        <f t="shared" si="1"/>
        <v>43101</v>
      </c>
      <c r="E33" s="685">
        <v>0.125</v>
      </c>
      <c r="F33" s="685"/>
      <c r="G33" s="199"/>
      <c r="H33" s="191"/>
      <c r="I33" s="191"/>
      <c r="J33" s="191"/>
      <c r="AC33" s="694"/>
    </row>
    <row r="34" spans="1:29">
      <c r="A34" s="673"/>
      <c r="B34" s="219"/>
      <c r="C34" s="219"/>
      <c r="D34" s="682">
        <f t="shared" si="1"/>
        <v>43132</v>
      </c>
      <c r="E34" s="685">
        <v>0.137788562888824</v>
      </c>
      <c r="F34" s="685"/>
      <c r="G34" s="199"/>
      <c r="H34" s="191"/>
      <c r="I34" s="191"/>
      <c r="J34" s="191"/>
      <c r="AC34" s="694"/>
    </row>
    <row r="35" spans="1:29">
      <c r="A35" s="673"/>
      <c r="B35" s="219"/>
      <c r="C35" s="219"/>
      <c r="D35" s="682">
        <f t="shared" si="1"/>
        <v>43160</v>
      </c>
      <c r="E35" s="685">
        <v>0.145</v>
      </c>
      <c r="F35" s="685"/>
      <c r="G35" s="199"/>
      <c r="H35" s="191"/>
      <c r="I35" s="191"/>
      <c r="J35" s="191"/>
      <c r="AC35" s="694"/>
    </row>
    <row r="36" spans="1:29">
      <c r="A36" s="673"/>
      <c r="B36" s="219"/>
      <c r="C36" s="219"/>
      <c r="D36" s="682">
        <f t="shared" si="1"/>
        <v>43191</v>
      </c>
      <c r="E36" s="685">
        <v>0.14</v>
      </c>
      <c r="F36" s="685"/>
      <c r="G36" s="199"/>
      <c r="H36" s="191"/>
      <c r="I36" s="191"/>
      <c r="J36" s="191"/>
      <c r="AC36" s="694"/>
    </row>
    <row r="37" spans="1:29">
      <c r="A37" s="673"/>
      <c r="B37" s="219"/>
      <c r="C37" s="219"/>
      <c r="D37" s="682">
        <f t="shared" si="1"/>
        <v>43221</v>
      </c>
      <c r="E37" s="685">
        <v>0.12</v>
      </c>
      <c r="F37" s="685"/>
      <c r="G37" s="199"/>
      <c r="H37" s="191"/>
      <c r="I37" s="191"/>
      <c r="J37" s="191"/>
      <c r="AC37" s="694"/>
    </row>
    <row r="38" spans="1:29">
      <c r="A38" s="673"/>
      <c r="B38" s="219"/>
      <c r="C38" s="219"/>
      <c r="D38" s="682">
        <f t="shared" si="1"/>
        <v>43252</v>
      </c>
      <c r="E38" s="685">
        <v>0.145</v>
      </c>
      <c r="F38" s="685"/>
      <c r="G38" s="199"/>
      <c r="H38" s="191"/>
      <c r="I38" s="191"/>
      <c r="J38" s="191"/>
      <c r="AC38" s="694"/>
    </row>
    <row r="39" spans="1:29">
      <c r="A39" s="673"/>
      <c r="D39" s="682">
        <f t="shared" si="1"/>
        <v>43282</v>
      </c>
      <c r="E39" s="686"/>
      <c r="F39" s="685"/>
      <c r="G39" s="199"/>
      <c r="H39" s="191"/>
      <c r="I39" s="191"/>
      <c r="J39" s="191"/>
      <c r="AC39" s="694"/>
    </row>
    <row r="40" spans="1:29">
      <c r="A40" s="673"/>
      <c r="D40" s="251"/>
      <c r="E40" s="251"/>
      <c r="F40" s="199"/>
      <c r="G40" s="199"/>
      <c r="H40" s="191"/>
      <c r="I40" s="191"/>
      <c r="J40" s="191"/>
      <c r="AC40" s="694"/>
    </row>
    <row r="41" spans="1:29">
      <c r="A41" s="673"/>
      <c r="AC41" s="694"/>
    </row>
    <row r="42" spans="1:29">
      <c r="A42" s="673"/>
      <c r="AC42" s="694"/>
    </row>
    <row r="43" spans="1:29">
      <c r="A43" s="681"/>
      <c r="AC43" s="694"/>
    </row>
    <row r="44" spans="1:29">
      <c r="A44" s="675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AC44" s="694"/>
    </row>
    <row r="45" ht="17.55" spans="1:29">
      <c r="A45" s="683"/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95"/>
    </row>
    <row r="47" ht="68" spans="2:22">
      <c r="B47" s="48"/>
      <c r="C47" s="48"/>
      <c r="D47" s="48" t="s">
        <v>179</v>
      </c>
      <c r="E47" s="48" t="s">
        <v>180</v>
      </c>
      <c r="F47" s="48" t="s">
        <v>181</v>
      </c>
      <c r="G47" s="48" t="s">
        <v>182</v>
      </c>
      <c r="H47" s="48" t="s">
        <v>183</v>
      </c>
      <c r="I47" s="48" t="s">
        <v>184</v>
      </c>
      <c r="K47" s="48"/>
      <c r="L47" s="48"/>
      <c r="P47" s="48"/>
      <c r="Q47" s="48"/>
      <c r="R47" s="48"/>
      <c r="S47" s="48"/>
      <c r="T47" s="48"/>
      <c r="U47" s="48"/>
      <c r="V47" s="48"/>
    </row>
    <row r="48" ht="34" spans="1:22">
      <c r="A48" s="673" t="s">
        <v>151</v>
      </c>
      <c r="B48" s="48" t="s">
        <v>154</v>
      </c>
      <c r="C48" s="48" t="s">
        <v>154</v>
      </c>
      <c r="D48" s="48" t="s">
        <v>185</v>
      </c>
      <c r="E48" s="48" t="s">
        <v>185</v>
      </c>
      <c r="F48" s="48" t="s">
        <v>122</v>
      </c>
      <c r="G48" s="48" t="s">
        <v>122</v>
      </c>
      <c r="H48" s="48"/>
      <c r="I48" s="48"/>
      <c r="J48" s="48" t="s">
        <v>186</v>
      </c>
      <c r="K48" s="48"/>
      <c r="L48" s="48"/>
      <c r="P48" s="48"/>
      <c r="Q48" s="48"/>
      <c r="R48" s="48"/>
      <c r="S48" s="48"/>
      <c r="T48" s="48"/>
      <c r="U48" s="48"/>
      <c r="V48" s="48"/>
    </row>
    <row r="49" ht="15" customHeight="1" spans="1:10">
      <c r="A49" s="673"/>
      <c r="B49" s="222"/>
      <c r="C49" s="222" t="str">
        <f>C4</f>
        <v>Aug</v>
      </c>
      <c r="D49" s="223">
        <v>204950</v>
      </c>
      <c r="E49" s="223">
        <v>350550</v>
      </c>
      <c r="F49" s="225">
        <v>570</v>
      </c>
      <c r="G49" s="225">
        <v>598</v>
      </c>
      <c r="H49" s="225">
        <f>E49/J49/F49*100</f>
        <v>82.6612903225807</v>
      </c>
      <c r="I49" s="225">
        <f>D49/J49/G49*100</f>
        <v>46.0652893156399</v>
      </c>
      <c r="J49">
        <v>744</v>
      </c>
    </row>
    <row r="50" spans="1:10">
      <c r="A50" s="673"/>
      <c r="B50" s="219"/>
      <c r="C50" s="219" t="str">
        <f t="shared" ref="C50:C60" si="2">C5</f>
        <v>Sep</v>
      </c>
      <c r="D50" s="251">
        <v>201050</v>
      </c>
      <c r="E50" s="251">
        <v>355742</v>
      </c>
      <c r="F50" s="225">
        <v>570</v>
      </c>
      <c r="G50" s="225">
        <v>598</v>
      </c>
      <c r="H50" s="225">
        <f t="shared" ref="H50:H60" si="3">E50/J50/F50*100</f>
        <v>86.6817738791423</v>
      </c>
      <c r="I50" s="225">
        <f t="shared" ref="I50:I60" si="4">D50/J50/G50*100</f>
        <v>46.6950018580454</v>
      </c>
      <c r="J50">
        <v>720</v>
      </c>
    </row>
    <row r="51" spans="1:10">
      <c r="A51" s="673"/>
      <c r="B51" s="219"/>
      <c r="C51" s="219" t="str">
        <f t="shared" si="2"/>
        <v>Oct</v>
      </c>
      <c r="D51" s="251">
        <v>275000</v>
      </c>
      <c r="E51" s="251">
        <v>371155</v>
      </c>
      <c r="F51" s="225">
        <v>570</v>
      </c>
      <c r="G51" s="225">
        <v>598</v>
      </c>
      <c r="H51" s="225">
        <f t="shared" si="3"/>
        <v>87.52004338804</v>
      </c>
      <c r="I51" s="225">
        <f t="shared" si="4"/>
        <v>61.8099759053476</v>
      </c>
      <c r="J51">
        <v>744</v>
      </c>
    </row>
    <row r="52" spans="1:10">
      <c r="A52" s="673"/>
      <c r="B52" s="219"/>
      <c r="C52" s="219" t="str">
        <f t="shared" si="2"/>
        <v>Nov</v>
      </c>
      <c r="D52" s="251">
        <v>272000</v>
      </c>
      <c r="E52" s="251">
        <v>364060</v>
      </c>
      <c r="F52" s="225">
        <v>570</v>
      </c>
      <c r="G52" s="225">
        <v>598</v>
      </c>
      <c r="H52" s="225">
        <f t="shared" si="3"/>
        <v>88.7085769980507</v>
      </c>
      <c r="I52" s="225">
        <f t="shared" si="4"/>
        <v>63.173541434411</v>
      </c>
      <c r="J52">
        <v>720</v>
      </c>
    </row>
    <row r="53" spans="1:10">
      <c r="A53" s="673"/>
      <c r="B53" s="219"/>
      <c r="C53" s="219" t="str">
        <f t="shared" si="2"/>
        <v>dec</v>
      </c>
      <c r="D53" s="251">
        <v>262000</v>
      </c>
      <c r="E53" s="251">
        <v>381038</v>
      </c>
      <c r="F53" s="225">
        <v>570</v>
      </c>
      <c r="G53" s="225">
        <v>598</v>
      </c>
      <c r="H53" s="225">
        <f t="shared" si="3"/>
        <v>89.8504999056782</v>
      </c>
      <c r="I53" s="225">
        <f t="shared" si="4"/>
        <v>58.8880497716402</v>
      </c>
      <c r="J53">
        <v>744</v>
      </c>
    </row>
    <row r="54" spans="1:10">
      <c r="A54" s="673"/>
      <c r="B54" s="219"/>
      <c r="C54" s="219" t="str">
        <f t="shared" si="2"/>
        <v>Jan</v>
      </c>
      <c r="D54" s="251">
        <v>268000</v>
      </c>
      <c r="E54" s="251">
        <v>379780</v>
      </c>
      <c r="F54" s="225">
        <v>570</v>
      </c>
      <c r="G54" s="225">
        <v>598</v>
      </c>
      <c r="H54" s="225">
        <f t="shared" si="3"/>
        <v>89.5538577626863</v>
      </c>
      <c r="I54" s="225">
        <f t="shared" si="4"/>
        <v>60.2366310641205</v>
      </c>
      <c r="J54">
        <v>744</v>
      </c>
    </row>
    <row r="55" spans="1:10">
      <c r="A55" s="673"/>
      <c r="B55" s="219"/>
      <c r="C55" s="219" t="str">
        <f t="shared" si="2"/>
        <v>Feb</v>
      </c>
      <c r="D55" s="251">
        <v>248000</v>
      </c>
      <c r="E55" s="251">
        <v>347707</v>
      </c>
      <c r="F55" s="225">
        <v>570</v>
      </c>
      <c r="G55" s="225">
        <v>598</v>
      </c>
      <c r="H55" s="225">
        <f t="shared" si="3"/>
        <v>90.7756370091897</v>
      </c>
      <c r="I55" s="225">
        <f t="shared" si="4"/>
        <v>61.7136486701704</v>
      </c>
      <c r="J55">
        <v>672</v>
      </c>
    </row>
    <row r="56" spans="1:10">
      <c r="A56" s="673"/>
      <c r="B56" s="219"/>
      <c r="C56" s="219" t="str">
        <f t="shared" si="2"/>
        <v>mar</v>
      </c>
      <c r="D56" s="251">
        <v>256000</v>
      </c>
      <c r="E56" s="251">
        <v>372906</v>
      </c>
      <c r="F56" s="225">
        <v>570</v>
      </c>
      <c r="G56" s="225">
        <v>598</v>
      </c>
      <c r="H56" s="225">
        <f t="shared" si="3"/>
        <v>87.9329371816638</v>
      </c>
      <c r="I56" s="225">
        <f t="shared" si="4"/>
        <v>57.5394684791599</v>
      </c>
      <c r="J56">
        <v>744</v>
      </c>
    </row>
    <row r="57" spans="1:10">
      <c r="A57" s="673"/>
      <c r="B57" s="219"/>
      <c r="C57" s="219" t="str">
        <f t="shared" si="2"/>
        <v>apr</v>
      </c>
      <c r="D57" s="251">
        <v>267950</v>
      </c>
      <c r="E57" s="251">
        <v>362362</v>
      </c>
      <c r="F57" s="225">
        <v>570</v>
      </c>
      <c r="G57" s="225">
        <v>598</v>
      </c>
      <c r="H57" s="225">
        <f t="shared" si="3"/>
        <v>88.2948343079922</v>
      </c>
      <c r="I57" s="225">
        <f t="shared" si="4"/>
        <v>62.2329059829059</v>
      </c>
      <c r="J57">
        <v>720</v>
      </c>
    </row>
    <row r="58" spans="1:10">
      <c r="A58" s="673"/>
      <c r="B58" s="219"/>
      <c r="C58" s="219" t="str">
        <f t="shared" si="2"/>
        <v>May</v>
      </c>
      <c r="D58" s="251">
        <v>279050</v>
      </c>
      <c r="E58" s="251">
        <v>372854</v>
      </c>
      <c r="F58" s="225">
        <v>570</v>
      </c>
      <c r="G58" s="225">
        <v>598</v>
      </c>
      <c r="H58" s="225">
        <f t="shared" si="3"/>
        <v>87.9206753442747</v>
      </c>
      <c r="I58" s="225">
        <f t="shared" si="4"/>
        <v>62.7202682777718</v>
      </c>
      <c r="J58">
        <v>744</v>
      </c>
    </row>
    <row r="59" spans="1:10">
      <c r="A59" s="673"/>
      <c r="B59" s="219"/>
      <c r="C59" s="219" t="str">
        <f t="shared" si="2"/>
        <v>June</v>
      </c>
      <c r="D59" s="251">
        <v>280000</v>
      </c>
      <c r="E59" s="251">
        <v>336617</v>
      </c>
      <c r="F59" s="225">
        <v>570</v>
      </c>
      <c r="G59" s="225">
        <v>598</v>
      </c>
      <c r="H59" s="225">
        <f t="shared" si="3"/>
        <v>82.0216861598441</v>
      </c>
      <c r="I59" s="225">
        <f t="shared" si="4"/>
        <v>65.0315867707172</v>
      </c>
      <c r="J59">
        <v>720</v>
      </c>
    </row>
    <row r="60" spans="1:10">
      <c r="A60" s="673"/>
      <c r="B60" s="228"/>
      <c r="C60" s="224" t="str">
        <f t="shared" si="2"/>
        <v>July</v>
      </c>
      <c r="D60" s="252">
        <v>302000</v>
      </c>
      <c r="E60" s="252">
        <v>368244</v>
      </c>
      <c r="F60" s="225">
        <v>570</v>
      </c>
      <c r="G60" s="225">
        <v>598</v>
      </c>
      <c r="H60" s="225">
        <f t="shared" si="3"/>
        <v>86.8336162988115</v>
      </c>
      <c r="I60" s="225">
        <f t="shared" si="4"/>
        <v>67.878591721509</v>
      </c>
      <c r="J60">
        <v>744</v>
      </c>
    </row>
    <row r="61" spans="1:12">
      <c r="A61" s="673"/>
      <c r="D61" s="684"/>
      <c r="E61" s="684"/>
      <c r="F61" s="687"/>
      <c r="G61" s="688"/>
      <c r="H61" s="689"/>
      <c r="I61" s="692"/>
      <c r="J61" s="692"/>
      <c r="K61" s="692"/>
      <c r="L61" s="692"/>
    </row>
    <row r="62" spans="1:7">
      <c r="A62" s="673"/>
      <c r="D62" s="251"/>
      <c r="E62" s="690"/>
      <c r="F62" s="691"/>
      <c r="G62" s="691"/>
    </row>
    <row r="63" spans="1:25">
      <c r="A63" s="673"/>
      <c r="E63" s="579"/>
      <c r="F63" s="579"/>
      <c r="G63" s="579"/>
      <c r="W63" s="48"/>
      <c r="X63" s="48"/>
      <c r="Y63" s="48"/>
    </row>
    <row r="64" ht="30" customHeight="1" spans="1:25">
      <c r="A64" s="673"/>
      <c r="W64" s="48"/>
      <c r="X64" s="48"/>
      <c r="Y64" s="48"/>
    </row>
    <row r="65" spans="1:1">
      <c r="A65" s="673"/>
    </row>
    <row r="66" ht="15" customHeight="1"/>
  </sheetData>
  <mergeCells count="7">
    <mergeCell ref="C1:O1"/>
    <mergeCell ref="P1:AH1"/>
    <mergeCell ref="A20:O20"/>
    <mergeCell ref="A44:O44"/>
    <mergeCell ref="A1:A18"/>
    <mergeCell ref="A25:A42"/>
    <mergeCell ref="A48:A65"/>
  </mergeCells>
  <pageMargins left="0.7" right="0.7" top="0.787401575" bottom="0.787401575" header="0.3" footer="0.3"/>
  <pageSetup paperSize="9" orientation="portrait"/>
  <headerFooter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599993896298105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802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600</v>
      </c>
      <c r="G3" s="22"/>
      <c r="H3" s="23" t="s">
        <v>187</v>
      </c>
      <c r="I3" s="5" t="s">
        <v>188</v>
      </c>
      <c r="J3" s="35">
        <v>4368272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570</v>
      </c>
      <c r="G4" s="217"/>
      <c r="H4" s="25" t="s">
        <v>187</v>
      </c>
      <c r="I4" s="7" t="s">
        <v>191</v>
      </c>
      <c r="J4" s="37">
        <v>3670925.62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84.1814092879744</v>
      </c>
      <c r="H6" s="27" t="s">
        <v>195</v>
      </c>
      <c r="I6" s="1"/>
      <c r="J6" s="40">
        <v>855321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7.69670634666772</v>
      </c>
      <c r="H7" s="27" t="s">
        <v>195</v>
      </c>
      <c r="I7" s="1"/>
      <c r="J7" s="40">
        <v>78202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8.12188436535783</v>
      </c>
      <c r="H8" s="27" t="s">
        <v>195</v>
      </c>
      <c r="I8" s="1"/>
      <c r="J8" s="40">
        <v>82522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7" t="s">
        <v>195</v>
      </c>
      <c r="I9" s="14"/>
      <c r="J9" s="42">
        <f>SUM(J6:J8)</f>
        <v>1016045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40.3873621349997</v>
      </c>
      <c r="H11" s="27" t="s">
        <v>195</v>
      </c>
      <c r="I11" s="1"/>
      <c r="J11" s="40">
        <v>429449.5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4">
      <c r="A13" s="15"/>
      <c r="B13" s="16"/>
      <c r="C13" s="15"/>
      <c r="D13" s="15" t="s">
        <v>203</v>
      </c>
      <c r="E13" s="196">
        <v>37.8</v>
      </c>
      <c r="F13" s="15" t="s">
        <v>204</v>
      </c>
      <c r="G13" s="31"/>
      <c r="H13" s="15"/>
      <c r="I13" s="15"/>
      <c r="J13" s="45">
        <v>166282.2</v>
      </c>
      <c r="K13" s="44" t="s">
        <v>196</v>
      </c>
      <c r="L13" s="15"/>
      <c r="N13" t="s">
        <v>77</v>
      </c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35</v>
      </c>
      <c r="F15" s="15" t="s">
        <v>204</v>
      </c>
      <c r="G15" s="31"/>
      <c r="H15" s="15"/>
      <c r="I15" s="15"/>
      <c r="J15" s="45">
        <v>209615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3.51491306846466</v>
      </c>
      <c r="H16" s="27" t="s">
        <v>195</v>
      </c>
      <c r="I16" s="1"/>
      <c r="J16" s="40">
        <v>37375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11.9447796294805</v>
      </c>
      <c r="H17" s="27" t="s">
        <v>195</v>
      </c>
      <c r="I17" s="1"/>
      <c r="J17" s="40">
        <v>127012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31.3220021125403</v>
      </c>
      <c r="H18" s="27" t="s">
        <v>195</v>
      </c>
      <c r="I18" s="1"/>
      <c r="J18" s="40">
        <v>333055.13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12.8309430545148</v>
      </c>
      <c r="H19" s="27" t="s">
        <v>195</v>
      </c>
      <c r="I19" s="1"/>
      <c r="J19" s="40">
        <v>136434.81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3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  <c r="M21" t="s">
        <v>77</v>
      </c>
    </row>
    <row r="22" ht="21.75" customHeight="1" spans="1:12">
      <c r="A22" s="17"/>
      <c r="B22" s="18"/>
      <c r="C22" s="17"/>
      <c r="D22" s="15" t="s">
        <v>648</v>
      </c>
      <c r="E22" s="15"/>
      <c r="F22" s="15"/>
      <c r="G22" s="33"/>
      <c r="H22" s="17"/>
      <c r="I22" s="17"/>
      <c r="J22" s="45">
        <v>0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8733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10620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8453.81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60420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48208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1063326.44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23.2596550764238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24.3420382247259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-1.08238314830212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-47281.4399999999</v>
      </c>
      <c r="K37" s="43" t="s">
        <v>196</v>
      </c>
      <c r="L37" s="12"/>
    </row>
    <row r="38" ht="21.75" customHeight="1" spans="1:12">
      <c r="A38" s="1"/>
      <c r="B38" s="1" t="s">
        <v>649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/>
    <pageSetUpPr fitToPage="1"/>
  </sheetPr>
  <dimension ref="A1:T64"/>
  <sheetViews>
    <sheetView zoomScale="115" zoomScaleNormal="115" topLeftCell="A22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4" width="18.5" style="156" customWidth="1"/>
    <col min="5" max="5" width="11.5" style="156" customWidth="1"/>
    <col min="6" max="6" width="12.1634615384615" style="156" customWidth="1"/>
    <col min="7" max="7" width="11.5" style="156" customWidth="1"/>
    <col min="8" max="8" width="18.163461538461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806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95" t="s">
        <v>807</v>
      </c>
      <c r="D4" s="96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880" t="s">
        <v>808</v>
      </c>
      <c r="D5" s="96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82" t="s">
        <v>809</v>
      </c>
      <c r="D6" s="9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213" t="s">
        <v>369</v>
      </c>
      <c r="D7" s="96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280</v>
      </c>
      <c r="D8" s="96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810</v>
      </c>
      <c r="D10" s="9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259</v>
      </c>
      <c r="E13" s="67" t="s">
        <v>178</v>
      </c>
      <c r="F13" s="67" t="s">
        <v>23</v>
      </c>
      <c r="G13" s="78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78">
        <v>1</v>
      </c>
      <c r="E14" s="78">
        <v>1</v>
      </c>
      <c r="F14" s="78">
        <v>1</v>
      </c>
      <c r="G14" s="78"/>
      <c r="H14" s="64"/>
      <c r="I14" s="57" t="s">
        <v>248</v>
      </c>
      <c r="J14" s="64"/>
      <c r="K14" s="92">
        <f>'[70]Tabellen für Auswertung'!J16</f>
        <v>23597.12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71"/>
      <c r="E15" s="71"/>
      <c r="F15" s="71"/>
      <c r="G15" s="78"/>
      <c r="H15" s="71"/>
      <c r="I15" s="57" t="s">
        <v>249</v>
      </c>
      <c r="J15" s="64"/>
      <c r="K15" s="594">
        <f>'[70]Tabellen für Auswertung'!J33</f>
        <v>64.6573409498208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1323</v>
      </c>
      <c r="E16" s="69">
        <v>1323</v>
      </c>
      <c r="F16" s="69">
        <v>1323</v>
      </c>
      <c r="G16" s="78"/>
      <c r="H16" s="98">
        <f>SUM(D16:F16)</f>
        <v>3969</v>
      </c>
      <c r="I16" s="56" t="s">
        <v>155</v>
      </c>
      <c r="J16" s="56"/>
      <c r="K16" s="591">
        <f>'[70]Tabellen für Auswertung'!B50*100</f>
        <v>67.8701468653802</v>
      </c>
      <c r="L16" s="118" t="s">
        <v>59</v>
      </c>
      <c r="M16" s="178"/>
    </row>
    <row r="17" ht="15" customHeight="1" spans="1:15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8"/>
      <c r="H17" s="98"/>
      <c r="I17" s="56" t="s">
        <v>371</v>
      </c>
      <c r="J17" s="56"/>
      <c r="K17" s="591">
        <f>'[70]Tabellen für Auswertung'!F50*100</f>
        <v>19.7788967467216</v>
      </c>
      <c r="L17" s="118" t="s">
        <v>59</v>
      </c>
      <c r="M17" s="178"/>
      <c r="O17" s="156" t="s">
        <v>77</v>
      </c>
    </row>
    <row r="18" ht="15" customHeight="1" spans="1:13">
      <c r="A18" s="157"/>
      <c r="B18" s="57" t="s">
        <v>66</v>
      </c>
      <c r="C18" s="56" t="s">
        <v>55</v>
      </c>
      <c r="D18" s="71">
        <v>210</v>
      </c>
      <c r="E18" s="71">
        <v>210</v>
      </c>
      <c r="F18" s="71">
        <v>210</v>
      </c>
      <c r="G18" s="78"/>
      <c r="H18" s="98">
        <f>SUM(D18:F18)</f>
        <v>630</v>
      </c>
      <c r="I18" s="56" t="s">
        <v>743</v>
      </c>
      <c r="J18" s="56"/>
      <c r="K18" s="591">
        <f>'[70]Tabellen für Auswertung'!G50*100</f>
        <v>5.81787099442644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99"/>
      <c r="H19" s="167"/>
      <c r="I19" s="56" t="s">
        <v>157</v>
      </c>
      <c r="J19" s="56"/>
      <c r="K19" s="591">
        <f>'[70]Tabellen für Auswertung'!H50*100</f>
        <v>5.44452034824589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8"/>
      <c r="H20" s="101"/>
      <c r="I20" s="56" t="s">
        <v>372</v>
      </c>
      <c r="J20" s="56"/>
      <c r="K20" s="591">
        <f>'[70]Tabellen für Auswertung'!E50*100</f>
        <v>1.04618699231093</v>
      </c>
      <c r="L20" s="118" t="s">
        <v>59</v>
      </c>
      <c r="M20" s="178"/>
    </row>
    <row r="21" ht="15" customHeight="1" spans="1:15">
      <c r="A21" s="157"/>
      <c r="B21" s="66" t="s">
        <v>71</v>
      </c>
      <c r="C21" s="64" t="s">
        <v>59</v>
      </c>
      <c r="D21" s="75">
        <f>[70]Auswertung!L182</f>
        <v>7.69625170294392</v>
      </c>
      <c r="E21" s="75">
        <f>[70]Auswertung!O182</f>
        <v>8.11279066539386</v>
      </c>
      <c r="F21" s="78"/>
      <c r="G21" s="78"/>
      <c r="H21" s="102"/>
      <c r="I21" s="56"/>
      <c r="J21" s="56"/>
      <c r="K21" s="591"/>
      <c r="L21" s="118"/>
      <c r="M21" s="178"/>
      <c r="O21" s="183"/>
    </row>
    <row r="22" ht="15" customHeight="1" spans="1:13">
      <c r="A22" s="157"/>
      <c r="B22" s="66" t="s">
        <v>73</v>
      </c>
      <c r="C22" s="64" t="s">
        <v>59</v>
      </c>
      <c r="D22" s="75">
        <f>[70]Auswertung!N182</f>
        <v>73.6028365860709</v>
      </c>
      <c r="E22" s="75">
        <f>[70]Auswertung!Q182</f>
        <v>69.3646307069946</v>
      </c>
      <c r="F22" s="78"/>
      <c r="G22" s="78"/>
      <c r="H22" s="102"/>
      <c r="I22" s="56"/>
      <c r="J22" s="56"/>
      <c r="K22" s="591"/>
      <c r="L22" s="118"/>
      <c r="M22" s="178"/>
    </row>
    <row r="23" ht="15" customHeight="1" spans="1:15">
      <c r="A23" s="157"/>
      <c r="B23" s="66" t="s">
        <v>74</v>
      </c>
      <c r="C23" s="378" t="s">
        <v>75</v>
      </c>
      <c r="D23" s="75"/>
      <c r="E23" s="75"/>
      <c r="F23" s="78"/>
      <c r="G23" s="78"/>
      <c r="H23" s="103" t="s">
        <v>638</v>
      </c>
      <c r="I23" s="534"/>
      <c r="J23" s="56"/>
      <c r="K23" s="56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78"/>
      <c r="G24" s="78"/>
      <c r="H24" s="104" t="s">
        <v>811</v>
      </c>
      <c r="I24" s="55" t="s">
        <v>80</v>
      </c>
      <c r="J24" s="56"/>
      <c r="K24" s="591">
        <f>'[70]Tabellen für Auswertung'!J84</f>
        <v>15.9094072473167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8"/>
      <c r="E25" s="78"/>
      <c r="F25" s="78"/>
      <c r="G25" s="78"/>
      <c r="H25" s="104" t="s">
        <v>252</v>
      </c>
      <c r="I25" s="56" t="s">
        <v>83</v>
      </c>
      <c r="J25" s="56"/>
      <c r="K25" s="591">
        <f>'[70]Tabellen für Auswertung'!J101</f>
        <v>84.4543542455469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105" t="s">
        <v>253</v>
      </c>
      <c r="I26" s="56" t="s">
        <v>86</v>
      </c>
      <c r="J26" s="56"/>
      <c r="K26" s="591">
        <f>'[70]Tabellen für Auswertung'!J118</f>
        <v>49.3248170523356</v>
      </c>
      <c r="L26" s="118" t="s">
        <v>59</v>
      </c>
      <c r="M26" s="178"/>
      <c r="N26" s="179"/>
    </row>
    <row r="27" ht="15" customHeight="1" spans="1:14">
      <c r="A27" s="157"/>
      <c r="B27" s="66" t="s">
        <v>377</v>
      </c>
      <c r="C27" s="56" t="s">
        <v>88</v>
      </c>
      <c r="D27" s="78"/>
      <c r="E27" s="78"/>
      <c r="F27" s="78"/>
      <c r="G27" s="78"/>
      <c r="H27" s="103" t="s">
        <v>254</v>
      </c>
      <c r="I27" s="130"/>
      <c r="J27" s="130"/>
      <c r="K27" s="130"/>
      <c r="L27" s="167"/>
      <c r="N27" s="179"/>
    </row>
    <row r="28" ht="15" customHeight="1" spans="1:14">
      <c r="A28" s="157"/>
      <c r="B28" s="66" t="s">
        <v>90</v>
      </c>
      <c r="C28" s="56" t="s">
        <v>91</v>
      </c>
      <c r="D28" s="78"/>
      <c r="E28" s="78"/>
      <c r="F28" s="78"/>
      <c r="G28" s="78"/>
      <c r="H28" s="103" t="s">
        <v>700</v>
      </c>
      <c r="I28" s="668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5">
        <f>[70]Auswertung!N224</f>
        <v>7.75166666666667</v>
      </c>
      <c r="E29" s="75">
        <f>[70]Auswertung!Q224</f>
        <v>7.77</v>
      </c>
      <c r="F29" s="78"/>
      <c r="G29" s="78"/>
      <c r="H29" s="78"/>
      <c r="I29" s="66" t="s">
        <v>26</v>
      </c>
      <c r="J29" s="64"/>
      <c r="K29" s="64">
        <v>2</v>
      </c>
      <c r="L29" s="114"/>
    </row>
    <row r="30" ht="15" customHeight="1" spans="1:12">
      <c r="A30" s="157"/>
      <c r="B30" s="66" t="s">
        <v>94</v>
      </c>
      <c r="C30" s="56" t="s">
        <v>95</v>
      </c>
      <c r="D30" s="77">
        <f>[70]Temp_Gaszus.!B19</f>
        <v>40.4230184331797</v>
      </c>
      <c r="E30" s="77">
        <f>[70]Temp_Gaszus.!C19</f>
        <v>40.4906957245264</v>
      </c>
      <c r="F30" s="78"/>
      <c r="G30" s="78"/>
      <c r="H30" s="78"/>
      <c r="I30" s="66" t="s">
        <v>96</v>
      </c>
      <c r="J30" s="92"/>
      <c r="K30" s="64">
        <v>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f>[70]Auswertung!L224/1000</f>
        <v>1.89166666666667</v>
      </c>
      <c r="E31" s="75">
        <f>[70]Auswertung!O224/1000</f>
        <v>2.00333333333333</v>
      </c>
      <c r="F31" s="78"/>
      <c r="G31" s="78"/>
      <c r="H31" s="78"/>
      <c r="I31" s="66" t="s">
        <v>99</v>
      </c>
      <c r="J31" s="92"/>
      <c r="K31" s="92">
        <v>6000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f>[70]Auswertung!M224/1000</f>
        <v>4.89025177775763</v>
      </c>
      <c r="E32" s="75">
        <f>[70]Auswertung!P224/1000</f>
        <v>5.05001132219353</v>
      </c>
      <c r="F32" s="78"/>
      <c r="G32" s="78"/>
      <c r="H32" s="78"/>
      <c r="I32" s="66" t="s">
        <v>66</v>
      </c>
      <c r="J32" s="92"/>
      <c r="K32" s="92">
        <v>0</v>
      </c>
      <c r="L32" s="114" t="s">
        <v>55</v>
      </c>
    </row>
    <row r="33" ht="15" customHeight="1" spans="1:12">
      <c r="A33" s="157"/>
      <c r="B33" s="66" t="s">
        <v>101</v>
      </c>
      <c r="C33" s="64" t="s">
        <v>102</v>
      </c>
      <c r="D33" s="78">
        <v>82</v>
      </c>
      <c r="E33" s="78">
        <v>148</v>
      </c>
      <c r="F33" s="78"/>
      <c r="G33" s="78"/>
      <c r="H33" s="78" t="s">
        <v>77</v>
      </c>
      <c r="I33" s="57" t="s">
        <v>103</v>
      </c>
      <c r="J33" s="64"/>
      <c r="K33" s="194">
        <v>6.4</v>
      </c>
      <c r="L33" s="114" t="s">
        <v>59</v>
      </c>
    </row>
    <row r="34" ht="15" customHeight="1" spans="1:13">
      <c r="A34" s="157"/>
      <c r="B34" s="66" t="s">
        <v>104</v>
      </c>
      <c r="C34" s="64" t="s">
        <v>62</v>
      </c>
      <c r="D34" s="80">
        <f>[70]Auswertung!O203</f>
        <v>0.121106717617294</v>
      </c>
      <c r="E34" s="80">
        <f>[70]Auswertung!S203</f>
        <v>0.125579849605065</v>
      </c>
      <c r="F34" s="78"/>
      <c r="G34" s="78"/>
      <c r="H34" s="78"/>
      <c r="I34" s="66" t="s">
        <v>105</v>
      </c>
      <c r="J34" s="64"/>
      <c r="K34" s="194">
        <f>[70]Auswertung!S182</f>
        <v>6.60502573224843</v>
      </c>
      <c r="L34" s="114" t="s">
        <v>59</v>
      </c>
      <c r="M34" s="157" t="s">
        <v>380</v>
      </c>
    </row>
    <row r="35" ht="15" customHeight="1" spans="1:13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94">
        <f>[70]Auswertung!T182</f>
        <v>71.4647891762872</v>
      </c>
      <c r="L35" s="114" t="s">
        <v>59</v>
      </c>
      <c r="M35" s="157" t="s">
        <v>380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29"/>
      <c r="J36" s="70"/>
      <c r="K36" s="70"/>
      <c r="L36" s="167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239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40</v>
      </c>
      <c r="E39" s="64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456" t="s">
        <v>114</v>
      </c>
      <c r="L40" s="103">
        <f>[70]Temp_Gaszus.!E19</f>
        <v>52.0667210701485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78" t="s">
        <v>116</v>
      </c>
      <c r="L41" s="879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78" t="s">
        <v>120</v>
      </c>
      <c r="L42" s="103">
        <f>[70]Temp_Gaszus.!F19</f>
        <v>0.520989823348694</v>
      </c>
    </row>
    <row r="43" ht="15" customHeight="1" spans="1:12">
      <c r="A43" s="157"/>
      <c r="B43" s="66" t="s">
        <v>121</v>
      </c>
      <c r="C43" s="64" t="s">
        <v>122</v>
      </c>
      <c r="D43" s="78">
        <v>170</v>
      </c>
      <c r="E43" s="78">
        <v>370</v>
      </c>
      <c r="F43" s="77"/>
      <c r="G43" s="78"/>
      <c r="H43" s="102"/>
      <c r="I43" s="66"/>
      <c r="J43" s="64" t="s">
        <v>123</v>
      </c>
      <c r="K43" s="456" t="s">
        <v>124</v>
      </c>
      <c r="L43" s="174">
        <f>[70]Temp_Gaszus.!G19</f>
        <v>249.843529185868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177.27959697733</v>
      </c>
      <c r="E44" s="77">
        <f>E43/E45*E46</f>
        <v>426.527777777778</v>
      </c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f>'[70]Tabellen für Auswertung'!S89</f>
        <v>39.7</v>
      </c>
      <c r="E45" s="78">
        <f>'[70]Tabellen für Auswertung'!T89</f>
        <v>36</v>
      </c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f>'[70]Tabellen für Auswertung'!V89</f>
        <v>41.4</v>
      </c>
      <c r="E46" s="78">
        <f>'[70]Tabellen für Auswertung'!W89</f>
        <v>41.5</v>
      </c>
      <c r="F46" s="78"/>
      <c r="G46" s="78"/>
      <c r="H46" s="102"/>
      <c r="I46" s="66"/>
      <c r="J46" s="64" t="s">
        <v>131</v>
      </c>
      <c r="K46" s="77">
        <f>[70]Auswertung!Q156/'[70]Tabellen für Auswertung'!J16</f>
        <v>99.756220473936</v>
      </c>
      <c r="L46" s="174">
        <f>K46*L40/100</f>
        <v>51.9397930642866</v>
      </c>
      <c r="M46" s="180"/>
    </row>
    <row r="47" ht="15" customHeight="1" spans="1:12">
      <c r="A47" s="157"/>
      <c r="B47" s="57" t="s">
        <v>132</v>
      </c>
      <c r="C47" s="56" t="s">
        <v>62</v>
      </c>
      <c r="D47" s="78" t="s">
        <v>133</v>
      </c>
      <c r="E47" s="78" t="s">
        <v>133</v>
      </c>
      <c r="F47" s="78"/>
      <c r="G47" s="78"/>
      <c r="H47" s="102"/>
      <c r="I47" s="66"/>
      <c r="J47" s="64" t="s">
        <v>134</v>
      </c>
      <c r="K47" s="77">
        <f>K46/(K24/100*K25/100)</f>
        <v>742.444410181488</v>
      </c>
      <c r="L47" s="174">
        <f>L46/(K24/100*K25/100)</f>
        <v>386.566460150105</v>
      </c>
    </row>
    <row r="48" ht="15" customHeight="1" spans="1:13">
      <c r="A48" s="157"/>
      <c r="B48" s="66" t="s">
        <v>135</v>
      </c>
      <c r="C48" s="64" t="s">
        <v>240</v>
      </c>
      <c r="D48" s="69">
        <f>'[70]Tabellen für Auswertung'!P33</f>
        <v>8170</v>
      </c>
      <c r="E48" s="69">
        <f>'[70]Tabellen für Auswertung'!Q33</f>
        <v>8382</v>
      </c>
      <c r="F48" s="78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 t="e">
        <f>'[70]Tabellen für Auswertung'!P50/'[71]BGA 40_Datenblatt '!D43</f>
        <v>#REF!</v>
      </c>
      <c r="E49" s="69" t="e">
        <f>'[70]Tabellen für Auswertung'!Q50/'[71]BGA 40_Datenblatt '!E43</f>
        <v>#REF!</v>
      </c>
      <c r="F49" s="78"/>
      <c r="G49" s="69"/>
      <c r="H49" s="98"/>
      <c r="I49" s="66"/>
      <c r="J49" s="64" t="s">
        <v>139</v>
      </c>
      <c r="K49" s="69">
        <f>'[70]Tabellen für Auswertung'!S50/365</f>
        <v>12298.1369863014</v>
      </c>
      <c r="L49" s="98"/>
    </row>
    <row r="50" ht="15" customHeight="1" spans="1:20">
      <c r="A50" s="157"/>
      <c r="B50" s="57" t="s">
        <v>140</v>
      </c>
      <c r="C50" s="64" t="s">
        <v>59</v>
      </c>
      <c r="D50" s="77" t="e">
        <f>D49/24/365*100</f>
        <v>#REF!</v>
      </c>
      <c r="E50" s="77" t="e">
        <f>E49/24/365*100</f>
        <v>#REF!</v>
      </c>
      <c r="F50" s="78"/>
      <c r="G50" s="78"/>
      <c r="H50" s="102"/>
      <c r="I50" s="66"/>
      <c r="J50" s="64" t="s">
        <v>141</v>
      </c>
      <c r="K50" s="69">
        <f>'[70]Tabellen für Auswertung'!S67/'[70]Tabellen für Auswertung'!J16</f>
        <v>187.601961595313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f>'[70]Tabellen für Auswertung'!R84</f>
        <v>331484.7</v>
      </c>
      <c r="D55" s="593">
        <v>7</v>
      </c>
      <c r="E55" s="111" t="s">
        <v>147</v>
      </c>
      <c r="F55" s="64"/>
      <c r="G55" s="64" t="s">
        <v>274</v>
      </c>
      <c r="H55" s="64"/>
      <c r="I55" s="69">
        <v>770100</v>
      </c>
      <c r="J55" s="593">
        <v>15</v>
      </c>
      <c r="K55" s="111" t="s">
        <v>149</v>
      </c>
      <c r="L55" s="114"/>
    </row>
    <row r="56" ht="15" customHeight="1" spans="1:12">
      <c r="A56" s="157"/>
      <c r="B56" s="66" t="s">
        <v>812</v>
      </c>
      <c r="C56" s="93">
        <f>'[70]Tabellen für Auswertung'!Q84</f>
        <v>175559.7</v>
      </c>
      <c r="D56" s="593">
        <v>4</v>
      </c>
      <c r="E56" s="111" t="s">
        <v>147</v>
      </c>
      <c r="F56" s="64"/>
      <c r="G56" s="64"/>
      <c r="H56" s="64"/>
      <c r="I56" s="69"/>
      <c r="J56" s="594"/>
      <c r="K56" s="111"/>
      <c r="L56" s="114"/>
    </row>
    <row r="57" ht="15" customHeight="1" spans="1:12">
      <c r="A57" s="157"/>
      <c r="B57" s="66" t="s">
        <v>431</v>
      </c>
      <c r="C57" s="93">
        <f>'[70]Tabellen für Auswertung'!P84</f>
        <v>155925</v>
      </c>
      <c r="D57" s="593">
        <v>3</v>
      </c>
      <c r="E57" s="111" t="s">
        <v>147</v>
      </c>
      <c r="F57" s="64"/>
      <c r="G57" s="64"/>
      <c r="H57" s="64"/>
      <c r="I57" s="69"/>
      <c r="J57" s="594"/>
      <c r="K57" s="111"/>
      <c r="L57" s="114"/>
    </row>
    <row r="58" ht="15" customHeight="1" spans="1:12">
      <c r="A58" s="157"/>
      <c r="B58" s="81"/>
      <c r="C58" s="94"/>
      <c r="D58" s="94"/>
      <c r="E58" s="94"/>
      <c r="F58" s="94"/>
      <c r="G58" s="94"/>
      <c r="H58" s="94"/>
      <c r="I58" s="89"/>
      <c r="J58" s="66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G61"/>
      <c r="H61"/>
    </row>
    <row r="62" ht="16.8" spans="7:8">
      <c r="G62"/>
      <c r="H62"/>
    </row>
    <row r="64" spans="3:3">
      <c r="C64" s="156" t="s">
        <v>77</v>
      </c>
    </row>
  </sheetData>
  <mergeCells count="1">
    <mergeCell ref="B2:L2"/>
  </mergeCells>
  <pageMargins left="0.236220472440945" right="0.236220472440945" top="0.748031496062992" bottom="0.748031496062992" header="0.31496062992126" footer="0.31496062992126"/>
  <pageSetup paperSize="9" scale="43" orientation="portrait"/>
  <headerFooter/>
  <ignoredErrors>
    <ignoredError sqref="C5" numberStoredAsText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/>
  </sheetPr>
  <dimension ref="A2:Y71"/>
  <sheetViews>
    <sheetView zoomScale="115" zoomScaleNormal="115" topLeftCell="C16" workbookViewId="0">
      <selection activeCell="A1" sqref="A1"/>
    </sheetView>
  </sheetViews>
  <sheetFormatPr defaultColWidth="11.5" defaultRowHeight="16.8"/>
  <cols>
    <col min="2" max="2" width="11.5" customWidth="1"/>
    <col min="3" max="3" width="12.5" customWidth="1"/>
    <col min="4" max="4" width="13.5" customWidth="1"/>
    <col min="5" max="5" width="14.1634615384615" customWidth="1"/>
    <col min="6" max="6" width="13.5" customWidth="1"/>
    <col min="7" max="7" width="12.5" customWidth="1"/>
    <col min="8" max="8" width="13.5" customWidth="1"/>
    <col min="9" max="9" width="10" customWidth="1"/>
    <col min="10" max="10" width="17.5" customWidth="1"/>
  </cols>
  <sheetData>
    <row r="2" spans="1:11">
      <c r="A2" s="544" t="s">
        <v>154</v>
      </c>
      <c r="B2" s="544" t="s">
        <v>382</v>
      </c>
      <c r="C2" s="544" t="s">
        <v>372</v>
      </c>
      <c r="D2" s="544" t="s">
        <v>743</v>
      </c>
      <c r="E2" s="544" t="s">
        <v>157</v>
      </c>
      <c r="F2" s="544" t="s">
        <v>58</v>
      </c>
      <c r="G2" s="544" t="s">
        <v>155</v>
      </c>
      <c r="H2" s="544"/>
      <c r="I2" s="544" t="s">
        <v>384</v>
      </c>
      <c r="J2" s="544" t="s">
        <v>385</v>
      </c>
      <c r="K2" s="544" t="s">
        <v>386</v>
      </c>
    </row>
    <row r="3" spans="1:25">
      <c r="A3" s="545">
        <f>[19]Auswertung!K3</f>
        <v>0</v>
      </c>
      <c r="B3" s="545" t="str">
        <f>[19]Auswertung!L3</f>
        <v>[%]</v>
      </c>
      <c r="C3" s="545" t="str">
        <f>[19]Auswertung!M3</f>
        <v>[%]</v>
      </c>
      <c r="D3" s="545" t="str">
        <f>[19]Auswertung!N3</f>
        <v>[%]</v>
      </c>
      <c r="E3" s="545" t="str">
        <f>[19]Auswertung!O3</f>
        <v>[%]</v>
      </c>
      <c r="F3" s="545" t="str">
        <f>[19]Auswertung!P3</f>
        <v>[%]</v>
      </c>
      <c r="G3" s="545" t="str">
        <f>[19]Auswertung!Q3</f>
        <v>[%]</v>
      </c>
      <c r="H3" s="545" t="str">
        <f>[19]Auswertung!R3</f>
        <v>[%]</v>
      </c>
      <c r="I3" s="545" t="str">
        <f>[19]Auswertung!U3</f>
        <v>[%]</v>
      </c>
      <c r="J3" s="545" t="str">
        <f>[19]Auswertung!S3</f>
        <v>[t/d]</v>
      </c>
      <c r="K3" s="545"/>
      <c r="X3" s="578" t="s">
        <v>387</v>
      </c>
      <c r="Y3" s="580"/>
    </row>
    <row r="4" spans="1:11">
      <c r="A4" s="546">
        <v>43009</v>
      </c>
      <c r="B4" s="547"/>
      <c r="C4" s="547">
        <f>[70]Auswertung!M4</f>
        <v>0.08575291055467</v>
      </c>
      <c r="D4" s="547">
        <f>[70]Auswertung!N4</f>
        <v>5.2606888480862</v>
      </c>
      <c r="E4" s="547">
        <f>[70]Auswertung!O4</f>
        <v>2.58519803878049</v>
      </c>
      <c r="F4" s="547">
        <f>[70]Auswertung!P4</f>
        <v>23.2642602045964</v>
      </c>
      <c r="G4" s="547">
        <f>[70]Auswertung!R4</f>
        <v>68.802885282286</v>
      </c>
      <c r="H4" s="547"/>
      <c r="I4" s="573"/>
      <c r="J4" s="547">
        <f>[70]Auswertung!S4</f>
        <v>63.9508064516129</v>
      </c>
      <c r="K4" s="573">
        <f t="shared" ref="K4:K15" si="0">SUM(B4:I4)</f>
        <v>99.9987852843038</v>
      </c>
    </row>
    <row r="5" spans="1:11">
      <c r="A5" s="546">
        <v>43040</v>
      </c>
      <c r="B5" s="547"/>
      <c r="C5" s="547">
        <f>[70]Auswertung!M5</f>
        <v>0.435941385699141</v>
      </c>
      <c r="D5" s="547">
        <f>[70]Auswertung!N5</f>
        <v>5.43589184690531</v>
      </c>
      <c r="E5" s="547">
        <f>[70]Auswertung!O5</f>
        <v>2.90297331840564</v>
      </c>
      <c r="F5" s="547">
        <f>[70]Auswertung!P5</f>
        <v>26.0321407694365</v>
      </c>
      <c r="G5" s="547">
        <f>[70]Auswertung!R5</f>
        <v>65.1919223443332</v>
      </c>
      <c r="H5" s="547"/>
      <c r="I5" s="573"/>
      <c r="J5" s="547">
        <f>[70]Auswertung!S5</f>
        <v>67.2885</v>
      </c>
      <c r="K5" s="573">
        <f t="shared" si="0"/>
        <v>99.9988696647799</v>
      </c>
    </row>
    <row r="6" spans="1:11">
      <c r="A6" s="546">
        <v>43070</v>
      </c>
      <c r="B6" s="547"/>
      <c r="C6" s="547">
        <f>[70]Auswertung!M6</f>
        <v>0</v>
      </c>
      <c r="D6" s="547">
        <f>[70]Auswertung!N6</f>
        <v>6.41922920135359</v>
      </c>
      <c r="E6" s="547">
        <f>[70]Auswertung!O6</f>
        <v>3.58042699907174</v>
      </c>
      <c r="F6" s="547">
        <f>[70]Auswertung!P6</f>
        <v>23.0085409637193</v>
      </c>
      <c r="G6" s="547">
        <f>[70]Auswertung!R6</f>
        <v>66.9906512679847</v>
      </c>
      <c r="H6" s="547"/>
      <c r="I6" s="573"/>
      <c r="J6" s="547">
        <f>[70]Auswertung!S6</f>
        <v>65.6808064516129</v>
      </c>
      <c r="K6" s="573">
        <f t="shared" si="0"/>
        <v>99.9988484321293</v>
      </c>
    </row>
    <row r="7" spans="1:11">
      <c r="A7" s="546">
        <v>43101</v>
      </c>
      <c r="B7" s="547"/>
      <c r="C7" s="547">
        <f>[70]Auswertung!M7</f>
        <v>0</v>
      </c>
      <c r="D7" s="547">
        <f>[70]Auswertung!N7</f>
        <v>5.78521212121212</v>
      </c>
      <c r="E7" s="547">
        <f>[70]Auswertung!O7</f>
        <v>6.70787878787879</v>
      </c>
      <c r="F7" s="547">
        <f>[70]Auswertung!P7</f>
        <v>21.3735757575758</v>
      </c>
      <c r="G7" s="547">
        <f>[70]Auswertung!R7</f>
        <v>66.1322110897512</v>
      </c>
      <c r="H7" s="547"/>
      <c r="I7" s="573"/>
      <c r="J7" s="547">
        <f>[70]Auswertung!S7</f>
        <v>66.5333870967742</v>
      </c>
      <c r="K7" s="573">
        <f t="shared" si="0"/>
        <v>99.9988777564179</v>
      </c>
    </row>
    <row r="8" spans="1:11">
      <c r="A8" s="546">
        <v>43132</v>
      </c>
      <c r="B8" s="547"/>
      <c r="C8" s="547">
        <f>[70]Auswertung!M8</f>
        <v>0</v>
      </c>
      <c r="D8" s="547">
        <f>[70]Auswertung!N8</f>
        <v>5.30920467110764</v>
      </c>
      <c r="E8" s="547">
        <f>[70]Auswertung!O8</f>
        <v>6.09940936918471</v>
      </c>
      <c r="F8" s="547">
        <f>[70]Auswertung!P8</f>
        <v>23.0880012945333</v>
      </c>
      <c r="G8" s="547">
        <f>[70]Auswertung!R8</f>
        <v>65.5021480756317</v>
      </c>
      <c r="H8" s="547"/>
      <c r="I8" s="573"/>
      <c r="J8" s="547">
        <f>[70]Auswertung!S8</f>
        <v>66.21375</v>
      </c>
      <c r="K8" s="573">
        <f t="shared" si="0"/>
        <v>99.9987634104573</v>
      </c>
    </row>
    <row r="9" spans="1:11">
      <c r="A9" s="546">
        <v>43160</v>
      </c>
      <c r="B9" s="547"/>
      <c r="C9" s="547">
        <f>[70]Auswertung!M9</f>
        <v>1.26417136095632</v>
      </c>
      <c r="D9" s="547">
        <f>[70]Auswertung!N9</f>
        <v>5.40559673944923</v>
      </c>
      <c r="E9" s="547">
        <f>[70]Auswertung!O9</f>
        <v>3.79200841432458</v>
      </c>
      <c r="F9" s="547">
        <f>[70]Auswertung!P9</f>
        <v>20.565034031493</v>
      </c>
      <c r="G9" s="547">
        <f>[70]Auswertung!R9</f>
        <v>68.9719687603502</v>
      </c>
      <c r="H9" s="547"/>
      <c r="I9" s="573"/>
      <c r="J9" s="547">
        <f>[70]Auswertung!S9</f>
        <v>63.7940322580645</v>
      </c>
      <c r="K9" s="573">
        <f t="shared" si="0"/>
        <v>99.9987793065734</v>
      </c>
    </row>
    <row r="10" spans="1:11">
      <c r="A10" s="546">
        <v>43191</v>
      </c>
      <c r="B10" s="547"/>
      <c r="C10" s="547">
        <f>[70]Auswertung!M10</f>
        <v>2.08143968934378</v>
      </c>
      <c r="D10" s="547">
        <f>[70]Auswertung!N10</f>
        <v>6.32875990297372</v>
      </c>
      <c r="E10" s="547">
        <f>[70]Auswertung!O10</f>
        <v>2.59830365354517</v>
      </c>
      <c r="F10" s="547">
        <f>[70]Auswertung!P10</f>
        <v>17.9966546369851</v>
      </c>
      <c r="G10" s="547">
        <f>[70]Auswertung!R10</f>
        <v>70.9935057077165</v>
      </c>
      <c r="H10" s="547"/>
      <c r="I10" s="573"/>
      <c r="J10" s="547">
        <f>[70]Auswertung!S10</f>
        <v>61.9775</v>
      </c>
      <c r="K10" s="573">
        <f t="shared" si="0"/>
        <v>99.9986635905643</v>
      </c>
    </row>
    <row r="11" spans="1:11">
      <c r="A11" s="546">
        <v>43221</v>
      </c>
      <c r="B11" s="547"/>
      <c r="C11" s="547">
        <f>[70]Auswertung!M11</f>
        <v>2.43384059840083</v>
      </c>
      <c r="D11" s="547">
        <f>[70]Auswertung!N11</f>
        <v>6.75367552231106</v>
      </c>
      <c r="E11" s="547">
        <f>[70]Auswertung!O11</f>
        <v>2.90533917977818</v>
      </c>
      <c r="F11" s="547">
        <f>[70]Auswertung!P11</f>
        <v>17.5434614392572</v>
      </c>
      <c r="G11" s="547">
        <f>[70]Auswertung!R11</f>
        <v>70.362412853005</v>
      </c>
      <c r="H11" s="547"/>
      <c r="I11" s="573"/>
      <c r="J11" s="547">
        <f>[70]Auswertung!S11</f>
        <v>62.5333870967742</v>
      </c>
      <c r="K11" s="573">
        <f t="shared" si="0"/>
        <v>99.9987295927522</v>
      </c>
    </row>
    <row r="12" spans="1:11">
      <c r="A12" s="546">
        <v>43252</v>
      </c>
      <c r="B12" s="547"/>
      <c r="C12" s="547">
        <f>[70]Auswertung!M12</f>
        <v>2.45848757271285</v>
      </c>
      <c r="D12" s="547">
        <f>[70]Auswertung!N12</f>
        <v>6.8725542041248</v>
      </c>
      <c r="E12" s="547">
        <f>[70]Auswertung!O12</f>
        <v>2.22474881015336</v>
      </c>
      <c r="F12" s="547">
        <f>[70]Auswertung!P12</f>
        <v>20.0148069804336</v>
      </c>
      <c r="G12" s="547">
        <f>[70]Auswertung!R12</f>
        <v>68.4281359149884</v>
      </c>
      <c r="H12" s="547"/>
      <c r="I12" s="573"/>
      <c r="J12" s="547">
        <f>[70]Auswertung!S12</f>
        <v>63.0345</v>
      </c>
      <c r="K12" s="573">
        <f t="shared" si="0"/>
        <v>99.998733482413</v>
      </c>
    </row>
    <row r="13" spans="1:11">
      <c r="A13" s="546">
        <v>43282</v>
      </c>
      <c r="B13" s="547"/>
      <c r="C13" s="547">
        <f>[70]Auswertung!M13</f>
        <v>1.72061194792937</v>
      </c>
      <c r="D13" s="547">
        <f>[70]Auswertung!N13</f>
        <v>6.55897274550674</v>
      </c>
      <c r="E13" s="547">
        <f>[70]Auswertung!O13</f>
        <v>12.1932394698549</v>
      </c>
      <c r="F13" s="547">
        <f>[70]Auswertung!P13</f>
        <v>12.4724702088331</v>
      </c>
      <c r="G13" s="547">
        <f>[70]Auswertung!R13</f>
        <v>67.0535518964504</v>
      </c>
      <c r="H13" s="547"/>
      <c r="I13" s="573"/>
      <c r="J13" s="547">
        <f>[70]Auswertung!S13</f>
        <v>65.6191935483871</v>
      </c>
      <c r="K13" s="573">
        <f t="shared" si="0"/>
        <v>99.9988462685746</v>
      </c>
    </row>
    <row r="14" spans="1:11">
      <c r="A14" s="546">
        <v>43313</v>
      </c>
      <c r="B14" s="547"/>
      <c r="C14" s="547">
        <f>[70]Auswertung!M14</f>
        <v>2.19044963957147</v>
      </c>
      <c r="D14" s="547">
        <f>[70]Auswertung!N14</f>
        <v>4.63180532876658</v>
      </c>
      <c r="E14" s="547">
        <f>[70]Auswertung!O14</f>
        <v>14.0313234298459</v>
      </c>
      <c r="F14" s="547">
        <f>[70]Auswertung!P14</f>
        <v>11.1429168823928</v>
      </c>
      <c r="G14" s="547">
        <f>[70]Auswertung!R14</f>
        <v>68.002319844879</v>
      </c>
      <c r="H14" s="547"/>
      <c r="I14" s="573"/>
      <c r="J14" s="547">
        <f>[70]Auswertung!S14</f>
        <v>64.7985483870968</v>
      </c>
      <c r="K14" s="573">
        <f t="shared" si="0"/>
        <v>99.9988151254557</v>
      </c>
    </row>
    <row r="15" spans="1:11">
      <c r="A15" s="548">
        <v>43344</v>
      </c>
      <c r="B15" s="549"/>
      <c r="C15" s="549">
        <f>[70]Auswertung!M15</f>
        <v>0</v>
      </c>
      <c r="D15" s="549">
        <f>[70]Auswertung!N15</f>
        <v>5.09075681516215</v>
      </c>
      <c r="E15" s="549">
        <f>[70]Auswertung!O15</f>
        <v>5.1181570498736</v>
      </c>
      <c r="F15" s="549">
        <f>[70]Auswertung!P15</f>
        <v>20.980308019997</v>
      </c>
      <c r="G15" s="549">
        <f>[70]Auswertung!R15</f>
        <v>68.2925568350717</v>
      </c>
      <c r="H15" s="549"/>
      <c r="I15" s="575"/>
      <c r="J15" s="549">
        <f>[70]Auswertung!S15</f>
        <v>64.4775</v>
      </c>
      <c r="K15" s="575">
        <f t="shared" si="0"/>
        <v>99.4817787201044</v>
      </c>
    </row>
    <row r="16" spans="1:11">
      <c r="A16" s="550" t="str">
        <f>[23]Auswertung!K16</f>
        <v>Jahresmenge</v>
      </c>
      <c r="B16" s="547"/>
      <c r="C16" s="547">
        <f>[70]Auswertung!M16</f>
        <v>1.04618699231093</v>
      </c>
      <c r="D16" s="547">
        <f>[70]Auswertung!N16</f>
        <v>5.81787099442644</v>
      </c>
      <c r="E16" s="547">
        <f>[70]Auswertung!O16</f>
        <v>5.44452034824589</v>
      </c>
      <c r="F16" s="547">
        <f>[70]Auswertung!P16</f>
        <v>19.7788967467216</v>
      </c>
      <c r="G16" s="547">
        <f>[70]Auswertung!R16</f>
        <v>67.8701468653802</v>
      </c>
      <c r="H16" s="547"/>
      <c r="I16" s="573"/>
      <c r="J16" s="547">
        <f>[70]Auswertung!S16</f>
        <v>129.315833557348</v>
      </c>
      <c r="K16" s="573">
        <f>AVERAGE(K4:K15)</f>
        <v>99.9557075528771</v>
      </c>
    </row>
    <row r="17" spans="1:15">
      <c r="A17" s="544"/>
      <c r="B17" s="544"/>
      <c r="C17" s="544"/>
      <c r="D17" s="544"/>
      <c r="E17" s="544"/>
      <c r="F17" s="544"/>
      <c r="G17" s="544"/>
      <c r="H17" s="544"/>
      <c r="I17" s="544"/>
      <c r="J17" s="544"/>
      <c r="K17" s="544"/>
      <c r="O17" t="s">
        <v>77</v>
      </c>
    </row>
    <row r="20" spans="3:5">
      <c r="C20" s="544"/>
      <c r="D20" s="544"/>
      <c r="E20" s="544"/>
    </row>
    <row r="21" spans="3:5">
      <c r="C21" s="544"/>
      <c r="D21" s="544"/>
      <c r="E21" s="544"/>
    </row>
    <row r="22" spans="3:5">
      <c r="C22" s="551" t="s">
        <v>104</v>
      </c>
      <c r="D22" s="552" t="s">
        <v>259</v>
      </c>
      <c r="E22" s="552" t="s">
        <v>178</v>
      </c>
    </row>
    <row r="23" ht="34" spans="2:5">
      <c r="B23" s="219"/>
      <c r="C23" s="552"/>
      <c r="D23" s="654" t="s">
        <v>388</v>
      </c>
      <c r="E23" s="569" t="s">
        <v>388</v>
      </c>
    </row>
    <row r="24" spans="2:5">
      <c r="B24" s="219"/>
      <c r="C24" s="554"/>
      <c r="D24" s="555" t="s">
        <v>389</v>
      </c>
      <c r="E24" s="663" t="s">
        <v>389</v>
      </c>
    </row>
    <row r="25" spans="3:5">
      <c r="C25" s="655">
        <f t="shared" ref="C25:C36" si="1">A4</f>
        <v>43009</v>
      </c>
      <c r="D25" s="656">
        <f>[70]Auswertung!O191</f>
        <v>0.105966504158147</v>
      </c>
      <c r="E25" s="664">
        <f>[70]Auswertung!S191</f>
        <v>0.110348708295217</v>
      </c>
    </row>
    <row r="26" spans="3:5">
      <c r="C26" s="657">
        <f t="shared" si="1"/>
        <v>43040</v>
      </c>
      <c r="D26" s="658">
        <f>[70]Auswertung!O192</f>
        <v>0.0980644774927637</v>
      </c>
      <c r="E26" s="665">
        <f>[70]Auswertung!S192</f>
        <v>0.103037021775655</v>
      </c>
    </row>
    <row r="27" spans="3:5">
      <c r="C27" s="657">
        <f t="shared" si="1"/>
        <v>43070</v>
      </c>
      <c r="D27" s="658">
        <f>[70]Auswertung!O193</f>
        <v>0.141705317747198</v>
      </c>
      <c r="E27" s="665">
        <f>[70]Auswertung!S193</f>
        <v>0.136765171112885</v>
      </c>
    </row>
    <row r="28" spans="3:5">
      <c r="C28" s="657">
        <f t="shared" si="1"/>
        <v>43101</v>
      </c>
      <c r="D28" s="658">
        <f>[70]Auswertung!O194</f>
        <v>0.111454258800211</v>
      </c>
      <c r="E28" s="665">
        <f>[70]Auswertung!S194</f>
        <v>0.114365489061652</v>
      </c>
    </row>
    <row r="29" spans="3:5">
      <c r="C29" s="657">
        <f t="shared" si="1"/>
        <v>43132</v>
      </c>
      <c r="D29" s="658">
        <f>[70]Auswertung!O195</f>
        <v>0.118284467645324</v>
      </c>
      <c r="E29" s="665">
        <f>[70]Auswertung!S195</f>
        <v>0.174922491407976</v>
      </c>
    </row>
    <row r="30" spans="3:5">
      <c r="C30" s="657">
        <f t="shared" si="1"/>
        <v>43160</v>
      </c>
      <c r="D30" s="658">
        <f>[70]Auswertung!O196</f>
        <v>0.107482302552183</v>
      </c>
      <c r="E30" s="665">
        <f>[70]Auswertung!S196</f>
        <v>0.113620963888736</v>
      </c>
    </row>
    <row r="31" spans="3:5">
      <c r="C31" s="657">
        <f t="shared" si="1"/>
        <v>43191</v>
      </c>
      <c r="D31" s="658">
        <f>[70]Auswertung!O197</f>
        <v>0.12769570480297</v>
      </c>
      <c r="E31" s="665">
        <f>[70]Auswertung!S197</f>
        <v>0.121138617028264</v>
      </c>
    </row>
    <row r="32" spans="3:5">
      <c r="C32" s="657">
        <f t="shared" si="1"/>
        <v>43221</v>
      </c>
      <c r="D32" s="658">
        <f>[70]Auswertung!O198</f>
        <v>0.131685372330231</v>
      </c>
      <c r="E32" s="665">
        <f>[70]Auswertung!S198</f>
        <v>0.123028313376261</v>
      </c>
    </row>
    <row r="33" spans="3:5">
      <c r="C33" s="657">
        <f t="shared" si="1"/>
        <v>43252</v>
      </c>
      <c r="D33" s="658">
        <f>[70]Auswertung!O199</f>
        <v>0.12028722134594</v>
      </c>
      <c r="E33" s="665">
        <f>[70]Auswertung!S199</f>
        <v>0.117171660913132</v>
      </c>
    </row>
    <row r="34" spans="3:5">
      <c r="C34" s="657">
        <f t="shared" si="1"/>
        <v>43282</v>
      </c>
      <c r="D34" s="658">
        <f>[70]Auswertung!O200</f>
        <v>0.156472478732605</v>
      </c>
      <c r="E34" s="665">
        <f>[70]Auswertung!S200</f>
        <v>0.145761563054019</v>
      </c>
    </row>
    <row r="35" spans="3:5">
      <c r="C35" s="657">
        <f t="shared" si="1"/>
        <v>43313</v>
      </c>
      <c r="D35" s="658">
        <f>[70]Auswertung!O201</f>
        <v>0.119097994276822</v>
      </c>
      <c r="E35" s="665">
        <f>[70]Auswertung!S201</f>
        <v>0.118748771013204</v>
      </c>
    </row>
    <row r="36" spans="3:5">
      <c r="C36" s="659">
        <f t="shared" si="1"/>
        <v>43344</v>
      </c>
      <c r="D36" s="660">
        <f>[70]Auswertung!O202</f>
        <v>0.115084511523137</v>
      </c>
      <c r="E36" s="666">
        <f>[70]Auswertung!S202</f>
        <v>0.128049424333783</v>
      </c>
    </row>
    <row r="37" ht="17.55" spans="3:5">
      <c r="C37" s="661" t="s">
        <v>390</v>
      </c>
      <c r="D37" s="662">
        <f>[70]Auswertung!O203</f>
        <v>0.121106717617294</v>
      </c>
      <c r="E37" s="667">
        <f>[70]Auswertung!S203</f>
        <v>0.125579849605065</v>
      </c>
    </row>
    <row r="38" ht="17.55"/>
    <row r="40" spans="4:4">
      <c r="D40" t="s">
        <v>77</v>
      </c>
    </row>
    <row r="46" ht="30.25" customHeight="1" spans="1:13">
      <c r="A46" s="544"/>
      <c r="B46" s="244" t="s">
        <v>391</v>
      </c>
      <c r="C46" s="244" t="s">
        <v>391</v>
      </c>
      <c r="D46" s="544"/>
      <c r="E46" s="544"/>
      <c r="F46" s="544"/>
      <c r="G46" s="544"/>
      <c r="H46" s="544"/>
      <c r="I46" s="544"/>
      <c r="J46" s="544"/>
      <c r="K46" s="577" t="s">
        <v>392</v>
      </c>
      <c r="L46" s="577"/>
      <c r="M46" s="544"/>
    </row>
    <row r="47" ht="84" spans="1:14">
      <c r="A47" s="544"/>
      <c r="B47" s="244" t="s">
        <v>393</v>
      </c>
      <c r="C47" s="244" t="s">
        <v>394</v>
      </c>
      <c r="D47" s="244" t="s">
        <v>395</v>
      </c>
      <c r="E47" s="244" t="s">
        <v>396</v>
      </c>
      <c r="F47" s="244" t="s">
        <v>183</v>
      </c>
      <c r="G47" s="244" t="s">
        <v>184</v>
      </c>
      <c r="H47" s="244" t="s">
        <v>397</v>
      </c>
      <c r="I47" s="244" t="s">
        <v>398</v>
      </c>
      <c r="J47" s="244" t="s">
        <v>399</v>
      </c>
      <c r="K47" s="244" t="s">
        <v>400</v>
      </c>
      <c r="L47" s="244" t="s">
        <v>401</v>
      </c>
      <c r="M47" s="244"/>
      <c r="N47" s="48"/>
    </row>
    <row r="48" ht="34" spans="1:24">
      <c r="A48" s="545" t="s">
        <v>154</v>
      </c>
      <c r="B48" s="564" t="s">
        <v>185</v>
      </c>
      <c r="C48" s="564" t="s">
        <v>185</v>
      </c>
      <c r="D48" s="564" t="s">
        <v>185</v>
      </c>
      <c r="E48" s="564" t="s">
        <v>185</v>
      </c>
      <c r="F48" s="564" t="s">
        <v>59</v>
      </c>
      <c r="G48" s="564" t="s">
        <v>402</v>
      </c>
      <c r="H48" s="564" t="s">
        <v>185</v>
      </c>
      <c r="I48" s="564" t="s">
        <v>403</v>
      </c>
      <c r="J48" s="564" t="s">
        <v>404</v>
      </c>
      <c r="K48" s="564" t="s">
        <v>122</v>
      </c>
      <c r="L48" s="564" t="s">
        <v>122</v>
      </c>
      <c r="M48" s="244"/>
      <c r="N48" s="48"/>
      <c r="X48" s="579"/>
    </row>
    <row r="49" spans="1:13">
      <c r="A49" s="546">
        <f t="shared" ref="A49:A60" si="2">C25</f>
        <v>43009</v>
      </c>
      <c r="B49" s="565">
        <f>[70]Biogas_Nm!F10</f>
        <v>242921.16</v>
      </c>
      <c r="C49" s="565">
        <f t="shared" ref="C49:C60" si="3">B49/(L49/K49)</f>
        <v>217181.169536424</v>
      </c>
      <c r="D49" s="566">
        <f>'[70]Tabellen für Auswertung'!R123</f>
        <v>36700</v>
      </c>
      <c r="E49" s="565"/>
      <c r="F49" s="572">
        <f t="shared" ref="F49:F60" si="4">B49/K49/J49*100</f>
        <v>62.4797222222222</v>
      </c>
      <c r="G49" s="572">
        <f t="shared" ref="G49:G60" si="5">D49/L49/J49*100</f>
        <v>8.43910963944077</v>
      </c>
      <c r="H49" s="573">
        <f t="shared" ref="H49:H60" si="6">E49/L49/J49</f>
        <v>0</v>
      </c>
      <c r="I49" s="544">
        <v>30</v>
      </c>
      <c r="J49" s="544">
        <f t="shared" ref="J49:J60" si="7">I49*24</f>
        <v>720</v>
      </c>
      <c r="K49" s="566">
        <v>540</v>
      </c>
      <c r="L49" s="566">
        <v>604</v>
      </c>
      <c r="M49" s="544"/>
    </row>
    <row r="50" spans="1:13">
      <c r="A50" s="546">
        <f t="shared" si="2"/>
        <v>43040</v>
      </c>
      <c r="B50" s="565">
        <f>[70]Biogas_Nm!F11</f>
        <v>358829.88</v>
      </c>
      <c r="C50" s="565">
        <f t="shared" si="3"/>
        <v>320808.170860927</v>
      </c>
      <c r="D50" s="566">
        <f>'[70]Tabellen für Auswertung'!R124</f>
        <v>61600</v>
      </c>
      <c r="E50" s="565"/>
      <c r="F50" s="572">
        <f t="shared" si="4"/>
        <v>89.314486260454</v>
      </c>
      <c r="G50" s="572">
        <f t="shared" si="5"/>
        <v>13.7078971729687</v>
      </c>
      <c r="H50" s="573">
        <f t="shared" si="6"/>
        <v>0</v>
      </c>
      <c r="I50" s="544">
        <v>31</v>
      </c>
      <c r="J50" s="544">
        <f t="shared" si="7"/>
        <v>744</v>
      </c>
      <c r="K50" s="566">
        <v>540</v>
      </c>
      <c r="L50" s="566">
        <v>604</v>
      </c>
      <c r="M50" s="544"/>
    </row>
    <row r="51" spans="1:13">
      <c r="A51" s="546">
        <f t="shared" si="2"/>
        <v>43070</v>
      </c>
      <c r="B51" s="565">
        <f>[70]Biogas_Nm!F12</f>
        <v>404529.96</v>
      </c>
      <c r="C51" s="565">
        <f t="shared" si="3"/>
        <v>361665.858278146</v>
      </c>
      <c r="D51" s="566">
        <f>'[70]Tabellen für Auswertung'!R125</f>
        <v>80800</v>
      </c>
      <c r="E51" s="565"/>
      <c r="F51" s="572">
        <f t="shared" si="4"/>
        <v>104.045771604938</v>
      </c>
      <c r="G51" s="572">
        <f t="shared" si="5"/>
        <v>18.579838116262</v>
      </c>
      <c r="H51" s="573">
        <f t="shared" si="6"/>
        <v>0</v>
      </c>
      <c r="I51" s="544">
        <v>30</v>
      </c>
      <c r="J51" s="544">
        <f t="shared" si="7"/>
        <v>720</v>
      </c>
      <c r="K51" s="566">
        <v>540</v>
      </c>
      <c r="L51" s="566">
        <v>604</v>
      </c>
      <c r="M51" s="544"/>
    </row>
    <row r="52" spans="1:13">
      <c r="A52" s="546">
        <f t="shared" si="2"/>
        <v>43101</v>
      </c>
      <c r="B52" s="565">
        <f>[70]Biogas_Nm!F13</f>
        <v>402467.52</v>
      </c>
      <c r="C52" s="565">
        <f t="shared" si="3"/>
        <v>359821.954966887</v>
      </c>
      <c r="D52" s="566">
        <f>'[70]Tabellen für Auswertung'!R126</f>
        <v>94500</v>
      </c>
      <c r="E52" s="565"/>
      <c r="F52" s="572">
        <f t="shared" si="4"/>
        <v>100.176105137395</v>
      </c>
      <c r="G52" s="572">
        <f t="shared" si="5"/>
        <v>21.0291604358043</v>
      </c>
      <c r="H52" s="573">
        <f t="shared" si="6"/>
        <v>0</v>
      </c>
      <c r="I52" s="544">
        <v>31</v>
      </c>
      <c r="J52" s="544">
        <f t="shared" si="7"/>
        <v>744</v>
      </c>
      <c r="K52" s="566">
        <v>540</v>
      </c>
      <c r="L52" s="566">
        <v>604</v>
      </c>
      <c r="M52" s="544"/>
    </row>
    <row r="53" spans="1:13">
      <c r="A53" s="546">
        <f t="shared" si="2"/>
        <v>43132</v>
      </c>
      <c r="B53" s="565">
        <f>[70]Biogas_Nm!F14</f>
        <v>362972.1</v>
      </c>
      <c r="C53" s="565">
        <f t="shared" si="3"/>
        <v>324511.48013245</v>
      </c>
      <c r="D53" s="566">
        <f>'[70]Tabellen für Auswertung'!R127</f>
        <v>87200</v>
      </c>
      <c r="E53" s="565"/>
      <c r="F53" s="572">
        <f t="shared" si="4"/>
        <v>90.3455047789725</v>
      </c>
      <c r="G53" s="572">
        <f t="shared" si="5"/>
        <v>19.4046856084882</v>
      </c>
      <c r="H53" s="573">
        <f t="shared" si="6"/>
        <v>0</v>
      </c>
      <c r="I53" s="544">
        <v>31</v>
      </c>
      <c r="J53" s="544">
        <f t="shared" si="7"/>
        <v>744</v>
      </c>
      <c r="K53" s="566">
        <v>540</v>
      </c>
      <c r="L53" s="566">
        <v>604</v>
      </c>
      <c r="M53" s="544"/>
    </row>
    <row r="54" spans="1:13">
      <c r="A54" s="546">
        <f t="shared" si="2"/>
        <v>43160</v>
      </c>
      <c r="B54" s="565">
        <f>[70]Biogas_Nm!F15</f>
        <v>404812.5</v>
      </c>
      <c r="C54" s="565">
        <f t="shared" si="3"/>
        <v>361918.460264901</v>
      </c>
      <c r="D54" s="566">
        <f>'[70]Tabellen für Auswertung'!R128</f>
        <v>91600</v>
      </c>
      <c r="E54" s="565"/>
      <c r="F54" s="572">
        <f t="shared" si="4"/>
        <v>111.555472883598</v>
      </c>
      <c r="G54" s="572">
        <f t="shared" si="5"/>
        <v>22.5678019552192</v>
      </c>
      <c r="H54" s="573">
        <f t="shared" si="6"/>
        <v>0</v>
      </c>
      <c r="I54" s="544">
        <v>28</v>
      </c>
      <c r="J54" s="544">
        <f t="shared" si="7"/>
        <v>672</v>
      </c>
      <c r="K54" s="566">
        <v>540</v>
      </c>
      <c r="L54" s="566">
        <v>604</v>
      </c>
      <c r="M54" s="544"/>
    </row>
    <row r="55" spans="1:13">
      <c r="A55" s="546">
        <f t="shared" si="2"/>
        <v>43191</v>
      </c>
      <c r="B55" s="565">
        <f>[70]Biogas_Nm!F16</f>
        <v>383767.86</v>
      </c>
      <c r="C55" s="565">
        <f t="shared" si="3"/>
        <v>343103.71589404</v>
      </c>
      <c r="D55" s="566">
        <f>'[70]Tabellen für Auswertung'!R129</f>
        <v>72400</v>
      </c>
      <c r="E55" s="565"/>
      <c r="F55" s="572">
        <f t="shared" si="4"/>
        <v>95.5216696535245</v>
      </c>
      <c r="G55" s="572">
        <f t="shared" si="5"/>
        <v>16.1112297942035</v>
      </c>
      <c r="H55" s="573">
        <f t="shared" si="6"/>
        <v>0</v>
      </c>
      <c r="I55" s="544">
        <v>31</v>
      </c>
      <c r="J55" s="544">
        <f t="shared" si="7"/>
        <v>744</v>
      </c>
      <c r="K55" s="566">
        <v>540</v>
      </c>
      <c r="L55" s="566">
        <v>604</v>
      </c>
      <c r="M55" s="544"/>
    </row>
    <row r="56" spans="1:13">
      <c r="A56" s="546">
        <f t="shared" si="2"/>
        <v>43221</v>
      </c>
      <c r="B56" s="565">
        <f>[70]Biogas_Nm!F17</f>
        <v>397870.38</v>
      </c>
      <c r="C56" s="565">
        <f t="shared" si="3"/>
        <v>355711.929139073</v>
      </c>
      <c r="D56" s="566">
        <f>'[70]Tabellen für Auswertung'!R130</f>
        <v>66700</v>
      </c>
      <c r="E56" s="565"/>
      <c r="F56" s="572">
        <f t="shared" si="4"/>
        <v>102.332916666667</v>
      </c>
      <c r="G56" s="572">
        <f t="shared" si="5"/>
        <v>15.3375643855776</v>
      </c>
      <c r="H56" s="573">
        <f t="shared" si="6"/>
        <v>0</v>
      </c>
      <c r="I56" s="544">
        <v>30</v>
      </c>
      <c r="J56" s="544">
        <f t="shared" si="7"/>
        <v>720</v>
      </c>
      <c r="K56" s="566">
        <v>540</v>
      </c>
      <c r="L56" s="566">
        <v>604</v>
      </c>
      <c r="M56" s="544"/>
    </row>
    <row r="57" spans="1:13">
      <c r="A57" s="546">
        <f t="shared" si="2"/>
        <v>43252</v>
      </c>
      <c r="B57" s="565">
        <f>[70]Biogas_Nm!F18</f>
        <v>388598.58</v>
      </c>
      <c r="C57" s="565">
        <f t="shared" si="3"/>
        <v>347422.571523179</v>
      </c>
      <c r="D57" s="566">
        <f>'[70]Tabellen für Auswertung'!R131</f>
        <v>58800</v>
      </c>
      <c r="E57" s="565"/>
      <c r="F57" s="572">
        <f t="shared" si="4"/>
        <v>96.724059139785</v>
      </c>
      <c r="G57" s="572">
        <f t="shared" si="5"/>
        <v>13.0848109378338</v>
      </c>
      <c r="H57" s="573">
        <f t="shared" si="6"/>
        <v>0</v>
      </c>
      <c r="I57" s="544">
        <v>31</v>
      </c>
      <c r="J57" s="544">
        <f t="shared" si="7"/>
        <v>744</v>
      </c>
      <c r="K57" s="566">
        <v>540</v>
      </c>
      <c r="L57" s="566">
        <v>604</v>
      </c>
      <c r="M57" s="544"/>
    </row>
    <row r="58" spans="1:13">
      <c r="A58" s="546">
        <f t="shared" si="2"/>
        <v>43282</v>
      </c>
      <c r="B58" s="565">
        <f>[70]Biogas_Nm!F19</f>
        <v>394226.94</v>
      </c>
      <c r="C58" s="565">
        <f t="shared" si="3"/>
        <v>352454.549006623</v>
      </c>
      <c r="D58" s="566">
        <f>'[70]Tabellen für Auswertung'!R132</f>
        <v>44400</v>
      </c>
      <c r="E58" s="565"/>
      <c r="F58" s="572">
        <f t="shared" si="4"/>
        <v>101.395817901235</v>
      </c>
      <c r="G58" s="572">
        <f t="shared" si="5"/>
        <v>10.2097130242826</v>
      </c>
      <c r="H58" s="573">
        <f t="shared" si="6"/>
        <v>0</v>
      </c>
      <c r="I58" s="544">
        <v>30</v>
      </c>
      <c r="J58" s="544">
        <f t="shared" si="7"/>
        <v>720</v>
      </c>
      <c r="K58" s="566">
        <v>540</v>
      </c>
      <c r="L58" s="566">
        <v>604</v>
      </c>
      <c r="M58" s="544"/>
    </row>
    <row r="59" spans="1:13">
      <c r="A59" s="546">
        <f t="shared" si="2"/>
        <v>43313</v>
      </c>
      <c r="B59" s="565">
        <f>[70]Biogas_Nm!F20</f>
        <v>385926.18</v>
      </c>
      <c r="C59" s="565">
        <f t="shared" si="3"/>
        <v>345033.339735099</v>
      </c>
      <c r="D59" s="566">
        <f>'[70]Tabellen für Auswertung'!R133</f>
        <v>34700</v>
      </c>
      <c r="E59" s="565"/>
      <c r="F59" s="572">
        <f t="shared" si="4"/>
        <v>96.0588859020311</v>
      </c>
      <c r="G59" s="572">
        <f t="shared" si="5"/>
        <v>7.72181869970804</v>
      </c>
      <c r="H59" s="573">
        <f t="shared" si="6"/>
        <v>0</v>
      </c>
      <c r="I59" s="544">
        <v>31</v>
      </c>
      <c r="J59" s="544">
        <f t="shared" si="7"/>
        <v>744</v>
      </c>
      <c r="K59" s="566">
        <v>540</v>
      </c>
      <c r="L59" s="566">
        <v>604</v>
      </c>
      <c r="M59" s="544"/>
    </row>
    <row r="60" spans="1:13">
      <c r="A60" s="548">
        <f t="shared" si="2"/>
        <v>43344</v>
      </c>
      <c r="B60" s="567">
        <f>[70]Biogas_Nm!F21</f>
        <v>388480.26</v>
      </c>
      <c r="C60" s="567">
        <f t="shared" si="3"/>
        <v>347316.788741722</v>
      </c>
      <c r="D60" s="568">
        <f>'[70]Tabellen für Auswertung'!R134</f>
        <v>40700</v>
      </c>
      <c r="E60" s="567"/>
      <c r="F60" s="574">
        <f t="shared" si="4"/>
        <v>99.917762345679</v>
      </c>
      <c r="G60" s="574">
        <f t="shared" si="5"/>
        <v>9.35890360559235</v>
      </c>
      <c r="H60" s="575">
        <f t="shared" si="6"/>
        <v>0</v>
      </c>
      <c r="I60" s="545">
        <v>30</v>
      </c>
      <c r="J60" s="545">
        <f t="shared" si="7"/>
        <v>720</v>
      </c>
      <c r="K60" s="568">
        <v>540</v>
      </c>
      <c r="L60" s="568">
        <v>604</v>
      </c>
      <c r="M60" s="544"/>
    </row>
    <row r="61" spans="1:13">
      <c r="A61" s="544" t="s">
        <v>406</v>
      </c>
      <c r="B61" s="565">
        <f t="shared" ref="B61:H61" si="8">AVERAGE(B49:B60)</f>
        <v>376283.61</v>
      </c>
      <c r="C61" s="565">
        <f t="shared" si="8"/>
        <v>336412.499006623</v>
      </c>
      <c r="D61" s="565">
        <f t="shared" si="8"/>
        <v>64175</v>
      </c>
      <c r="E61" s="565" t="e">
        <f t="shared" si="8"/>
        <v>#DIV/0!</v>
      </c>
      <c r="F61" s="576">
        <f t="shared" si="8"/>
        <v>95.8223478747084</v>
      </c>
      <c r="G61" s="576">
        <f t="shared" si="8"/>
        <v>14.6293777812818</v>
      </c>
      <c r="H61" s="573">
        <f t="shared" si="8"/>
        <v>0</v>
      </c>
      <c r="I61" s="544"/>
      <c r="J61" s="544"/>
      <c r="K61" s="544">
        <f>AVERAGE(K49:K60)</f>
        <v>540</v>
      </c>
      <c r="L61" s="566">
        <v>604</v>
      </c>
      <c r="M61" s="544"/>
    </row>
    <row r="62" spans="1:13">
      <c r="A62" s="544" t="s">
        <v>386</v>
      </c>
      <c r="B62" s="565">
        <f>SUM(B49:B60)</f>
        <v>4515403.32</v>
      </c>
      <c r="C62" s="565">
        <f>SUM(C49:C60)</f>
        <v>4036949.98807947</v>
      </c>
      <c r="D62" s="565">
        <f>SUM(D49:D60)</f>
        <v>770100</v>
      </c>
      <c r="E62" s="565">
        <f>SUM(E49:E60)</f>
        <v>0</v>
      </c>
      <c r="F62" s="544"/>
      <c r="G62" s="544"/>
      <c r="H62" s="544"/>
      <c r="I62" s="544"/>
      <c r="J62" s="544"/>
      <c r="K62" s="544"/>
      <c r="L62" s="544"/>
      <c r="M62" s="544"/>
    </row>
    <row r="63" spans="1:13">
      <c r="A63" s="544"/>
      <c r="B63" s="544"/>
      <c r="C63" s="544"/>
      <c r="D63" s="544"/>
      <c r="E63" s="544"/>
      <c r="F63" s="544" t="s">
        <v>407</v>
      </c>
      <c r="G63" s="544"/>
      <c r="H63" s="544"/>
      <c r="I63" s="544"/>
      <c r="J63" s="544"/>
      <c r="K63" s="544"/>
      <c r="L63" s="544"/>
      <c r="M63" s="544"/>
    </row>
    <row r="64" spans="1:13">
      <c r="A64" s="544"/>
      <c r="B64" s="544"/>
      <c r="C64" s="544"/>
      <c r="D64" s="544"/>
      <c r="E64" s="544"/>
      <c r="F64" s="576">
        <f>(B62+E62)/((K61+L61)*8760)</f>
        <v>0.450574300699301</v>
      </c>
      <c r="G64" s="544" t="s">
        <v>408</v>
      </c>
      <c r="H64" s="544"/>
      <c r="I64" s="544"/>
      <c r="J64" s="544"/>
      <c r="K64" s="544"/>
      <c r="L64" s="544"/>
      <c r="M64" s="544"/>
    </row>
    <row r="65" spans="1:13">
      <c r="A65" s="544"/>
      <c r="B65" s="544"/>
      <c r="C65" s="544"/>
      <c r="D65" s="544"/>
      <c r="E65" s="544"/>
      <c r="F65" s="544"/>
      <c r="G65" s="544" t="s">
        <v>409</v>
      </c>
      <c r="H65" s="544"/>
      <c r="I65" s="544"/>
      <c r="J65" s="544"/>
      <c r="K65" s="544"/>
      <c r="L65" s="544"/>
      <c r="M65" s="544"/>
    </row>
    <row r="66" spans="1:13">
      <c r="A66" s="544"/>
      <c r="B66" s="544"/>
      <c r="C66" s="544"/>
      <c r="D66" s="544"/>
      <c r="E66" s="544"/>
      <c r="F66" s="544"/>
      <c r="G66" s="544"/>
      <c r="H66" s="544"/>
      <c r="I66" s="544"/>
      <c r="J66" s="544"/>
      <c r="K66" s="544"/>
      <c r="L66" s="544"/>
      <c r="M66" s="544"/>
    </row>
    <row r="67" spans="1:13">
      <c r="A67" s="544"/>
      <c r="B67" s="544"/>
      <c r="C67" s="544"/>
      <c r="D67" s="544"/>
      <c r="E67" s="544"/>
      <c r="F67" s="544">
        <f>B62/K61/8760</f>
        <v>0.95455</v>
      </c>
      <c r="G67" s="544"/>
      <c r="H67" s="544"/>
      <c r="I67" s="544"/>
      <c r="J67" s="544"/>
      <c r="K67" s="544"/>
      <c r="L67" s="544"/>
      <c r="M67" s="544"/>
    </row>
    <row r="68" spans="1:13">
      <c r="A68" s="544"/>
      <c r="B68" s="544"/>
      <c r="C68" s="544"/>
      <c r="D68" s="544"/>
      <c r="E68" s="544"/>
      <c r="F68" s="544"/>
      <c r="G68" s="544"/>
      <c r="H68" s="544"/>
      <c r="I68" s="544"/>
      <c r="J68" s="544"/>
      <c r="K68" s="544"/>
      <c r="L68" s="544"/>
      <c r="M68" s="544"/>
    </row>
    <row r="69" spans="1:13">
      <c r="A69" s="544"/>
      <c r="B69" s="544"/>
      <c r="C69" s="544"/>
      <c r="D69" s="544"/>
      <c r="E69" s="544"/>
      <c r="F69" s="544"/>
      <c r="G69" s="544"/>
      <c r="H69" s="544"/>
      <c r="I69" s="544"/>
      <c r="J69" s="544"/>
      <c r="K69" s="544"/>
      <c r="L69" s="544"/>
      <c r="M69" s="544"/>
    </row>
    <row r="70" spans="1:13">
      <c r="A70" s="544"/>
      <c r="B70" s="544"/>
      <c r="C70" s="544"/>
      <c r="D70" s="544"/>
      <c r="E70" s="544"/>
      <c r="F70" s="544"/>
      <c r="G70" s="544"/>
      <c r="H70" s="544"/>
      <c r="I70" s="544"/>
      <c r="J70" s="544"/>
      <c r="K70" s="544"/>
      <c r="L70" s="544"/>
      <c r="M70" s="544"/>
    </row>
    <row r="71" spans="1:13">
      <c r="A71" s="544"/>
      <c r="B71" s="544"/>
      <c r="C71" s="544"/>
      <c r="D71" s="544"/>
      <c r="E71" s="544"/>
      <c r="F71" s="544"/>
      <c r="G71" s="544"/>
      <c r="H71" s="544"/>
      <c r="I71" s="544"/>
      <c r="J71" s="544"/>
      <c r="K71" s="544"/>
      <c r="L71" s="544"/>
      <c r="M71" s="544"/>
    </row>
  </sheetData>
  <mergeCells count="1">
    <mergeCell ref="K46:L46"/>
  </mergeCells>
  <pageMargins left="0.7" right="0.7" top="0.787401575" bottom="0.787401575" header="0.3" footer="0.3"/>
  <pageSetup paperSize="9" orientation="portrait"/>
  <headerFooter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/>
  </sheetPr>
  <dimension ref="A1:O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806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540</v>
      </c>
      <c r="G3" s="22"/>
      <c r="H3" s="23" t="s">
        <v>187</v>
      </c>
      <c r="I3" s="5" t="s">
        <v>188</v>
      </c>
      <c r="J3" s="35">
        <v>4071712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f>0.95*F3</f>
        <v>513</v>
      </c>
      <c r="G4" s="217"/>
      <c r="H4" s="25" t="s">
        <v>187</v>
      </c>
      <c r="I4" s="7" t="s">
        <v>191</v>
      </c>
      <c r="J4" s="37">
        <v>1733918.16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95.6003622403573</v>
      </c>
      <c r="H6" s="27" t="s">
        <v>195</v>
      </c>
      <c r="I6" s="1"/>
      <c r="J6" s="40">
        <v>820097.44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1.83505473974227</v>
      </c>
      <c r="H7" s="27" t="s">
        <v>195</v>
      </c>
      <c r="I7" s="1"/>
      <c r="J7" s="40">
        <v>15741.82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2.56458301990049</v>
      </c>
      <c r="H8" s="27" t="s">
        <v>195</v>
      </c>
      <c r="I8" s="1"/>
      <c r="J8" s="40">
        <v>22000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857839.26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1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34.6212259727062</v>
      </c>
      <c r="H11" s="27" t="s">
        <v>195</v>
      </c>
      <c r="I11" s="1"/>
      <c r="J11" s="40">
        <v>248128</v>
      </c>
      <c r="K11" s="41" t="s">
        <v>196</v>
      </c>
      <c r="L11" s="1"/>
    </row>
    <row r="12" ht="21.75" customHeight="1" spans="1:13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  <c r="M12" t="s">
        <v>77</v>
      </c>
    </row>
    <row r="13" ht="21.75" customHeight="1" spans="1:12">
      <c r="A13" s="15"/>
      <c r="B13" s="16"/>
      <c r="C13" s="15"/>
      <c r="D13" s="15" t="s">
        <v>203</v>
      </c>
      <c r="E13" s="185">
        <v>29</v>
      </c>
      <c r="F13" s="15" t="s">
        <v>204</v>
      </c>
      <c r="G13" s="31"/>
      <c r="H13" s="15"/>
      <c r="I13" s="15"/>
      <c r="J13" s="45">
        <v>174058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40</v>
      </c>
      <c r="F14" s="15" t="s">
        <v>204</v>
      </c>
      <c r="G14" s="31"/>
      <c r="H14" s="15"/>
      <c r="I14" s="15"/>
      <c r="J14" s="45">
        <v>73560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15</v>
      </c>
      <c r="F15" s="15" t="s">
        <v>204</v>
      </c>
      <c r="G15" s="31"/>
      <c r="H15" s="15"/>
      <c r="I15" s="15"/>
      <c r="J15" s="45">
        <v>510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5.61188462657275</v>
      </c>
      <c r="H16" s="27" t="s">
        <v>195</v>
      </c>
      <c r="I16" s="1"/>
      <c r="J16" s="40">
        <v>40220</v>
      </c>
      <c r="K16" s="41" t="s">
        <v>196</v>
      </c>
      <c r="L16" s="1"/>
    </row>
    <row r="17" ht="21.75" customHeight="1" spans="1:15">
      <c r="A17" s="1"/>
      <c r="B17" s="11"/>
      <c r="C17" s="1" t="s">
        <v>208</v>
      </c>
      <c r="D17" s="1"/>
      <c r="E17" s="1"/>
      <c r="F17" s="1"/>
      <c r="G17" s="26">
        <v>29.5157895159837</v>
      </c>
      <c r="H17" s="27" t="s">
        <v>195</v>
      </c>
      <c r="I17" s="1"/>
      <c r="J17" s="40">
        <v>211537.68</v>
      </c>
      <c r="K17" s="41" t="s">
        <v>196</v>
      </c>
      <c r="L17" s="1"/>
      <c r="O17" t="s">
        <v>77</v>
      </c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15.291004263358</v>
      </c>
      <c r="H18" s="27" t="s">
        <v>195</v>
      </c>
      <c r="I18" s="1"/>
      <c r="J18" s="40">
        <v>109589.6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14.9600956213793</v>
      </c>
      <c r="H19" s="27" t="s">
        <v>195</v>
      </c>
      <c r="I19" s="1"/>
      <c r="J19" s="40">
        <v>107218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55681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15031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741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7948</v>
      </c>
      <c r="K28" s="44" t="s">
        <v>196</v>
      </c>
      <c r="L28" s="15"/>
    </row>
    <row r="29" ht="21.75" customHeight="1" spans="1:15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13815</v>
      </c>
      <c r="K29" s="44" t="s">
        <v>196</v>
      </c>
      <c r="L29" s="15"/>
      <c r="O29" t="s">
        <v>77</v>
      </c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14002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716693.28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21.0682695632697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17.6017675120441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3.46650205122562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141145.98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B1:O63"/>
  <sheetViews>
    <sheetView zoomScale="115" zoomScaleNormal="115" workbookViewId="0">
      <selection activeCell="O25" sqref="O25"/>
    </sheetView>
  </sheetViews>
  <sheetFormatPr defaultColWidth="12.5" defaultRowHeight="14.4"/>
  <cols>
    <col min="1" max="1" width="8.16346153846154" style="632" customWidth="1"/>
    <col min="2" max="2" width="30.3365384615385" style="632" customWidth="1"/>
    <col min="3" max="3" width="10" style="632" customWidth="1"/>
    <col min="4" max="7" width="12.5" style="632"/>
    <col min="8" max="8" width="15.5" style="632" customWidth="1"/>
    <col min="9" max="11" width="12.5" style="632"/>
    <col min="12" max="12" width="15.3365384615385" style="632" customWidth="1"/>
    <col min="13" max="16384" width="12.5" style="632"/>
  </cols>
  <sheetData>
    <row r="1" ht="21.75" customHeight="1"/>
    <row r="2" ht="25.5" customHeight="1" spans="2:12">
      <c r="B2" s="49" t="s">
        <v>813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213" t="s">
        <v>814</v>
      </c>
      <c r="D4" s="213"/>
      <c r="E4" s="96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241">
        <v>40148</v>
      </c>
      <c r="D5" s="241"/>
      <c r="E5" s="96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6" t="s">
        <v>815</v>
      </c>
      <c r="D6" s="56"/>
      <c r="E6" s="9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213" t="s">
        <v>369</v>
      </c>
      <c r="D7" s="213"/>
      <c r="E7" s="9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213" t="s">
        <v>544</v>
      </c>
      <c r="D8" s="213"/>
      <c r="E8" s="9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6" t="s">
        <v>13</v>
      </c>
      <c r="D9" s="56"/>
      <c r="E9" s="96"/>
      <c r="F9" s="56"/>
      <c r="G9" s="56"/>
      <c r="H9" s="56"/>
      <c r="I9" s="56"/>
      <c r="J9" s="56"/>
      <c r="K9" s="56"/>
      <c r="L9" s="114"/>
    </row>
    <row r="10" ht="15" spans="2:12">
      <c r="B10" s="60" t="s">
        <v>232</v>
      </c>
      <c r="C10" s="56" t="s">
        <v>816</v>
      </c>
      <c r="D10" s="56"/>
      <c r="E10" s="9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33"/>
      <c r="E12" s="642"/>
      <c r="F12" s="642"/>
      <c r="G12" s="633"/>
      <c r="H12" s="643"/>
      <c r="I12" s="116" t="s">
        <v>20</v>
      </c>
      <c r="J12" s="117"/>
      <c r="K12" s="56" t="s">
        <v>25</v>
      </c>
      <c r="L12" s="114"/>
    </row>
    <row r="13" spans="2:12">
      <c r="B13" s="66" t="s">
        <v>233</v>
      </c>
      <c r="C13" s="64"/>
      <c r="D13" s="633" t="s">
        <v>283</v>
      </c>
      <c r="E13" s="633" t="s">
        <v>259</v>
      </c>
      <c r="F13" s="633" t="s">
        <v>178</v>
      </c>
      <c r="G13" s="633" t="s">
        <v>23</v>
      </c>
      <c r="H13" s="633" t="s">
        <v>24</v>
      </c>
      <c r="I13" s="57" t="s">
        <v>248</v>
      </c>
      <c r="J13" s="64"/>
      <c r="K13" s="69">
        <v>26298.887</v>
      </c>
      <c r="L13" s="114" t="s">
        <v>28</v>
      </c>
    </row>
    <row r="14" spans="2:14">
      <c r="B14" s="66" t="s">
        <v>26</v>
      </c>
      <c r="C14" s="64"/>
      <c r="D14" s="634">
        <v>1</v>
      </c>
      <c r="E14" s="634">
        <v>1</v>
      </c>
      <c r="F14" s="634">
        <v>1</v>
      </c>
      <c r="G14" s="634">
        <v>1</v>
      </c>
      <c r="H14" s="637"/>
      <c r="I14" s="57" t="s">
        <v>249</v>
      </c>
      <c r="J14" s="64"/>
      <c r="K14" s="75">
        <v>72.0926400601638</v>
      </c>
      <c r="L14" s="114" t="s">
        <v>56</v>
      </c>
      <c r="N14" s="632" t="s">
        <v>77</v>
      </c>
    </row>
    <row r="15" spans="2:12">
      <c r="B15" s="66" t="s">
        <v>54</v>
      </c>
      <c r="C15" s="64" t="s">
        <v>55</v>
      </c>
      <c r="D15" s="634">
        <v>201</v>
      </c>
      <c r="E15" s="644">
        <v>1885</v>
      </c>
      <c r="F15" s="644">
        <v>1885</v>
      </c>
      <c r="G15" s="644">
        <v>3963</v>
      </c>
      <c r="H15" s="645">
        <f>SUM(D15:G15)</f>
        <v>7934</v>
      </c>
      <c r="I15" s="56" t="str">
        <f>'[73]Dia Broschüre'!B2</f>
        <v>Rindergülle</v>
      </c>
      <c r="J15" s="56"/>
      <c r="K15" s="299">
        <v>22.6537768320344</v>
      </c>
      <c r="L15" s="118" t="s">
        <v>59</v>
      </c>
    </row>
    <row r="16" spans="2:12">
      <c r="B16" s="66" t="s">
        <v>234</v>
      </c>
      <c r="C16" s="64" t="s">
        <v>55</v>
      </c>
      <c r="D16" s="634">
        <v>191</v>
      </c>
      <c r="E16" s="644">
        <v>1649</v>
      </c>
      <c r="F16" s="644">
        <v>1649</v>
      </c>
      <c r="G16" s="644">
        <v>3600</v>
      </c>
      <c r="H16" s="645">
        <f>SUM(D16:G16)</f>
        <v>7089</v>
      </c>
      <c r="I16" s="56" t="str">
        <f>'[73]Dia Broschüre'!C2</f>
        <v>Schweinegülle</v>
      </c>
      <c r="J16" s="56"/>
      <c r="K16" s="650">
        <v>22.6537768320344</v>
      </c>
      <c r="L16" s="118" t="s">
        <v>59</v>
      </c>
    </row>
    <row r="17" spans="2:12">
      <c r="B17" s="57" t="s">
        <v>61</v>
      </c>
      <c r="C17" s="56" t="s">
        <v>62</v>
      </c>
      <c r="D17" s="635" t="s">
        <v>63</v>
      </c>
      <c r="E17" s="635" t="s">
        <v>63</v>
      </c>
      <c r="F17" s="635" t="s">
        <v>63</v>
      </c>
      <c r="G17" s="635" t="s">
        <v>63</v>
      </c>
      <c r="H17" s="645"/>
      <c r="I17" s="56" t="str">
        <f>'[73]Dia Broschüre'!D2</f>
        <v>Mais-Ganzpflanzensilage</v>
      </c>
      <c r="J17" s="56"/>
      <c r="K17" s="650">
        <v>52.8816469146779</v>
      </c>
      <c r="L17" s="118" t="s">
        <v>59</v>
      </c>
    </row>
    <row r="18" spans="2:12">
      <c r="B18" s="57" t="s">
        <v>66</v>
      </c>
      <c r="C18" s="56" t="s">
        <v>55</v>
      </c>
      <c r="D18" s="635">
        <v>0</v>
      </c>
      <c r="E18" s="644">
        <v>800</v>
      </c>
      <c r="F18" s="644">
        <v>800</v>
      </c>
      <c r="G18" s="646">
        <v>3000</v>
      </c>
      <c r="H18" s="645">
        <f>SUM(D18:G18)</f>
        <v>4600</v>
      </c>
      <c r="I18" s="56" t="s">
        <v>372</v>
      </c>
      <c r="J18" s="56"/>
      <c r="K18" s="650">
        <v>1.76886892699803</v>
      </c>
      <c r="L18" s="118" t="s">
        <v>59</v>
      </c>
    </row>
    <row r="19" spans="2:12">
      <c r="B19" s="57"/>
      <c r="C19" s="56"/>
      <c r="D19" s="70"/>
      <c r="E19" s="70"/>
      <c r="F19" s="70"/>
      <c r="G19" s="70"/>
      <c r="H19" s="100"/>
      <c r="I19" s="56" t="str">
        <f>'[73]Dia Broschüre'!F2</f>
        <v>Additive</v>
      </c>
      <c r="J19" s="56"/>
      <c r="K19" s="651">
        <v>0.0419304942551596</v>
      </c>
      <c r="L19" s="118" t="s">
        <v>59</v>
      </c>
    </row>
    <row r="20" ht="15.75" customHeight="1" spans="2:12">
      <c r="B20" s="72" t="s">
        <v>69</v>
      </c>
      <c r="C20" s="73"/>
      <c r="D20" s="74"/>
      <c r="E20" s="74"/>
      <c r="F20" s="74"/>
      <c r="G20" s="74"/>
      <c r="H20" s="101"/>
      <c r="I20" s="637"/>
      <c r="J20" s="637"/>
      <c r="K20" s="637"/>
      <c r="L20" s="652"/>
    </row>
    <row r="21" spans="2:12">
      <c r="B21" s="66" t="s">
        <v>71</v>
      </c>
      <c r="C21" s="64" t="s">
        <v>59</v>
      </c>
      <c r="D21" s="78"/>
      <c r="E21" s="647">
        <v>6.82925216015669</v>
      </c>
      <c r="F21" s="647">
        <v>7.21798183465819</v>
      </c>
      <c r="G21" s="634"/>
      <c r="H21" s="648"/>
      <c r="I21" s="125" t="s">
        <v>76</v>
      </c>
      <c r="J21" s="56"/>
      <c r="K21" s="301"/>
      <c r="L21" s="118"/>
    </row>
    <row r="22" spans="2:12">
      <c r="B22" s="66" t="s">
        <v>73</v>
      </c>
      <c r="C22" s="64" t="s">
        <v>59</v>
      </c>
      <c r="D22" s="78"/>
      <c r="E22" s="647">
        <v>5.44003384975553</v>
      </c>
      <c r="F22" s="647">
        <v>5.69971753239349</v>
      </c>
      <c r="G22" s="634"/>
      <c r="H22" s="634"/>
      <c r="I22" s="127" t="s">
        <v>80</v>
      </c>
      <c r="J22" s="56"/>
      <c r="K22" s="299">
        <v>23.2</v>
      </c>
      <c r="L22" s="118" t="s">
        <v>59</v>
      </c>
    </row>
    <row r="23" ht="18" spans="2:12">
      <c r="B23" s="66" t="s">
        <v>74</v>
      </c>
      <c r="C23" s="76" t="s">
        <v>75</v>
      </c>
      <c r="D23" s="78"/>
      <c r="E23" s="647"/>
      <c r="F23" s="647"/>
      <c r="G23" s="635"/>
      <c r="H23" s="103" t="s">
        <v>596</v>
      </c>
      <c r="I23" s="128" t="s">
        <v>83</v>
      </c>
      <c r="J23" s="56"/>
      <c r="K23" s="299">
        <v>94.8256967235499</v>
      </c>
      <c r="L23" s="118" t="s">
        <v>59</v>
      </c>
    </row>
    <row r="24" ht="18" spans="2:12">
      <c r="B24" s="66" t="s">
        <v>78</v>
      </c>
      <c r="C24" s="56" t="s">
        <v>79</v>
      </c>
      <c r="D24" s="78"/>
      <c r="E24" s="647"/>
      <c r="F24" s="647"/>
      <c r="G24" s="635"/>
      <c r="H24" s="104" t="s">
        <v>817</v>
      </c>
      <c r="I24" s="57" t="s">
        <v>86</v>
      </c>
      <c r="J24" s="56"/>
      <c r="K24" s="299">
        <v>77.9340491130159</v>
      </c>
      <c r="L24" s="118" t="s">
        <v>59</v>
      </c>
    </row>
    <row r="25" ht="18" spans="2:12">
      <c r="B25" s="57" t="s">
        <v>81</v>
      </c>
      <c r="C25" s="56" t="s">
        <v>59</v>
      </c>
      <c r="D25" s="78"/>
      <c r="E25" s="647"/>
      <c r="F25" s="647"/>
      <c r="G25" s="635"/>
      <c r="H25" s="104" t="s">
        <v>776</v>
      </c>
      <c r="I25" s="637"/>
      <c r="J25" s="637"/>
      <c r="K25" s="637"/>
      <c r="L25" s="652"/>
    </row>
    <row r="26" ht="18" spans="2:12">
      <c r="B26" s="57" t="s">
        <v>84</v>
      </c>
      <c r="C26" s="56" t="s">
        <v>59</v>
      </c>
      <c r="D26" s="78"/>
      <c r="E26" s="647"/>
      <c r="F26" s="647"/>
      <c r="G26" s="635"/>
      <c r="H26" s="105" t="s">
        <v>818</v>
      </c>
      <c r="I26" s="637" t="s">
        <v>819</v>
      </c>
      <c r="J26" s="637"/>
      <c r="K26" s="637"/>
      <c r="L26" s="652"/>
    </row>
    <row r="27" ht="18" spans="2:12">
      <c r="B27" s="66" t="s">
        <v>377</v>
      </c>
      <c r="C27" s="56" t="s">
        <v>88</v>
      </c>
      <c r="D27" s="78"/>
      <c r="E27" s="647"/>
      <c r="F27" s="647"/>
      <c r="G27" s="635"/>
      <c r="H27" s="103" t="s">
        <v>254</v>
      </c>
      <c r="I27" s="637"/>
      <c r="J27" s="637"/>
      <c r="K27" s="75">
        <v>121.004032258065</v>
      </c>
      <c r="L27" s="114" t="s">
        <v>56</v>
      </c>
    </row>
    <row r="28" ht="18" spans="2:12">
      <c r="B28" s="66" t="s">
        <v>90</v>
      </c>
      <c r="C28" s="56" t="s">
        <v>91</v>
      </c>
      <c r="D28" s="78"/>
      <c r="E28" s="647"/>
      <c r="F28" s="647"/>
      <c r="G28" s="635"/>
      <c r="H28" s="103" t="s">
        <v>272</v>
      </c>
      <c r="I28" s="63" t="s">
        <v>93</v>
      </c>
      <c r="J28" s="133"/>
      <c r="K28" s="64"/>
      <c r="L28" s="114"/>
    </row>
    <row r="29" spans="2:12">
      <c r="B29" s="66" t="s">
        <v>32</v>
      </c>
      <c r="C29" s="56" t="s">
        <v>62</v>
      </c>
      <c r="D29" s="78"/>
      <c r="E29" s="75">
        <v>7.93583333333333</v>
      </c>
      <c r="F29" s="75">
        <v>7.94583333333333</v>
      </c>
      <c r="G29" s="78"/>
      <c r="H29" s="78"/>
      <c r="I29" s="66" t="s">
        <v>26</v>
      </c>
      <c r="J29" s="64"/>
      <c r="K29" s="78">
        <v>1</v>
      </c>
      <c r="L29" s="114"/>
    </row>
    <row r="30" spans="2:12">
      <c r="B30" s="66" t="s">
        <v>94</v>
      </c>
      <c r="C30" s="56" t="s">
        <v>95</v>
      </c>
      <c r="D30" s="293">
        <v>40.1509589041096</v>
      </c>
      <c r="E30" s="293">
        <v>43.3792396313364</v>
      </c>
      <c r="F30" s="77">
        <v>43.9298700716846</v>
      </c>
      <c r="G30" s="77">
        <v>39.9613698630137</v>
      </c>
      <c r="H30" s="70"/>
      <c r="I30" s="66" t="s">
        <v>96</v>
      </c>
      <c r="J30" s="92"/>
      <c r="K30" s="69">
        <v>3600</v>
      </c>
      <c r="L30" s="114" t="s">
        <v>55</v>
      </c>
    </row>
    <row r="31" ht="18" spans="2:12">
      <c r="B31" s="66" t="s">
        <v>97</v>
      </c>
      <c r="C31" s="64" t="s">
        <v>98</v>
      </c>
      <c r="D31" s="78"/>
      <c r="E31" s="75">
        <v>2.38166666666667</v>
      </c>
      <c r="F31" s="75">
        <v>2.275</v>
      </c>
      <c r="G31" s="78"/>
      <c r="H31" s="78"/>
      <c r="I31" s="66" t="s">
        <v>99</v>
      </c>
      <c r="J31" s="92"/>
      <c r="K31" s="69">
        <v>0</v>
      </c>
      <c r="L31" s="114" t="s">
        <v>55</v>
      </c>
    </row>
    <row r="32" ht="18" spans="2:14">
      <c r="B32" s="66" t="s">
        <v>100</v>
      </c>
      <c r="C32" s="64" t="s">
        <v>98</v>
      </c>
      <c r="D32" s="78"/>
      <c r="E32" s="75">
        <v>4.55970003291433</v>
      </c>
      <c r="F32" s="75">
        <v>4.82643694899739</v>
      </c>
      <c r="G32" s="78"/>
      <c r="H32" s="78"/>
      <c r="I32" s="66" t="s">
        <v>66</v>
      </c>
      <c r="J32" s="92"/>
      <c r="K32" s="69">
        <v>3000</v>
      </c>
      <c r="L32" s="114" t="s">
        <v>55</v>
      </c>
      <c r="N32" s="632" t="s">
        <v>820</v>
      </c>
    </row>
    <row r="33" spans="2:15">
      <c r="B33" s="66" t="s">
        <v>101</v>
      </c>
      <c r="C33" s="64" t="s">
        <v>102</v>
      </c>
      <c r="D33" s="78"/>
      <c r="E33" s="78">
        <v>116</v>
      </c>
      <c r="F33" s="78">
        <v>171</v>
      </c>
      <c r="G33" s="78"/>
      <c r="H33" s="78" t="s">
        <v>77</v>
      </c>
      <c r="I33" s="57" t="s">
        <v>103</v>
      </c>
      <c r="J33" s="64"/>
      <c r="K33" s="75">
        <v>4.1</v>
      </c>
      <c r="L33" s="114" t="s">
        <v>59</v>
      </c>
      <c r="N33" s="632">
        <v>189.908931306748</v>
      </c>
      <c r="O33" s="632" t="s">
        <v>821</v>
      </c>
    </row>
    <row r="34" spans="2:12">
      <c r="B34" s="66" t="s">
        <v>104</v>
      </c>
      <c r="C34" s="64" t="s">
        <v>62</v>
      </c>
      <c r="D34" s="78"/>
      <c r="E34" s="80">
        <v>0.122896816998465</v>
      </c>
      <c r="F34" s="80">
        <v>0.12655606018721</v>
      </c>
      <c r="G34" s="78"/>
      <c r="H34" s="78"/>
      <c r="I34" s="66" t="s">
        <v>105</v>
      </c>
      <c r="J34" s="64"/>
      <c r="K34" s="75">
        <v>4.49</v>
      </c>
      <c r="L34" s="114" t="s">
        <v>59</v>
      </c>
    </row>
    <row r="35" spans="2:14">
      <c r="B35" s="66"/>
      <c r="C35" s="64"/>
      <c r="D35" s="78"/>
      <c r="E35" s="80"/>
      <c r="F35" s="78"/>
      <c r="G35" s="78"/>
      <c r="H35" s="78"/>
      <c r="I35" s="66" t="s">
        <v>106</v>
      </c>
      <c r="J35" s="64"/>
      <c r="K35" s="75">
        <v>71.18</v>
      </c>
      <c r="L35" s="114" t="s">
        <v>59</v>
      </c>
      <c r="N35" s="632" t="s">
        <v>822</v>
      </c>
    </row>
    <row r="36" spans="2:15">
      <c r="B36" s="81"/>
      <c r="C36" s="64"/>
      <c r="D36" s="64"/>
      <c r="E36" s="80"/>
      <c r="F36" s="78"/>
      <c r="G36" s="78"/>
      <c r="H36" s="78"/>
      <c r="I36" s="129"/>
      <c r="J36" s="70"/>
      <c r="K36" s="70"/>
      <c r="L36" s="167"/>
      <c r="N36" s="632">
        <v>105.745807560948</v>
      </c>
      <c r="O36" s="632" t="s">
        <v>821</v>
      </c>
    </row>
    <row r="37" ht="17.6" spans="2:12"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239</v>
      </c>
      <c r="L38" s="114"/>
    </row>
    <row r="39" ht="15" customHeight="1" spans="2:12">
      <c r="B39" s="85" t="s">
        <v>111</v>
      </c>
      <c r="C39" s="64" t="s">
        <v>59</v>
      </c>
      <c r="D39" s="78">
        <v>55</v>
      </c>
      <c r="E39" s="64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2:12">
      <c r="B40" s="85"/>
      <c r="C40" s="64"/>
      <c r="D40" s="78"/>
      <c r="E40" s="64"/>
      <c r="F40" s="78"/>
      <c r="G40" s="78"/>
      <c r="H40" s="78"/>
      <c r="I40" s="66"/>
      <c r="J40" s="64" t="s">
        <v>113</v>
      </c>
      <c r="K40" s="172" t="s">
        <v>114</v>
      </c>
      <c r="L40" s="103">
        <v>57.6131506849315</v>
      </c>
    </row>
    <row r="41" ht="18" spans="2:12">
      <c r="B41" s="86"/>
      <c r="C41" s="77"/>
      <c r="D41" s="67" t="s">
        <v>823</v>
      </c>
      <c r="E41" s="67" t="s">
        <v>824</v>
      </c>
      <c r="F41" s="67" t="s">
        <v>273</v>
      </c>
      <c r="G41" s="67" t="s">
        <v>315</v>
      </c>
      <c r="H41" s="67"/>
      <c r="I41" s="66"/>
      <c r="J41" s="64" t="s">
        <v>113</v>
      </c>
      <c r="K41" s="78" t="s">
        <v>116</v>
      </c>
      <c r="L41" s="103">
        <v>38.6823041095891</v>
      </c>
    </row>
    <row r="42" ht="15" customHeight="1" spans="2:12"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 t="s">
        <v>119</v>
      </c>
      <c r="H42" s="102"/>
      <c r="I42" s="66"/>
      <c r="J42" s="64" t="s">
        <v>113</v>
      </c>
      <c r="K42" s="78" t="s">
        <v>120</v>
      </c>
      <c r="L42" s="173">
        <v>0.569315068493154</v>
      </c>
    </row>
    <row r="43" ht="18" spans="2:12">
      <c r="B43" s="636" t="s">
        <v>825</v>
      </c>
      <c r="C43" s="637"/>
      <c r="D43" s="634" t="s">
        <v>826</v>
      </c>
      <c r="E43" s="634" t="s">
        <v>826</v>
      </c>
      <c r="F43" s="634" t="s">
        <v>827</v>
      </c>
      <c r="G43" s="634" t="s">
        <v>827</v>
      </c>
      <c r="H43" s="102"/>
      <c r="I43" s="66"/>
      <c r="J43" s="64" t="s">
        <v>123</v>
      </c>
      <c r="K43" s="172" t="s">
        <v>124</v>
      </c>
      <c r="L43" s="103">
        <v>0.610958904109589</v>
      </c>
    </row>
    <row r="44" spans="2:12">
      <c r="B44" s="636" t="s">
        <v>4</v>
      </c>
      <c r="C44" s="637"/>
      <c r="D44" s="638">
        <v>40178</v>
      </c>
      <c r="E44" s="638" t="s">
        <v>828</v>
      </c>
      <c r="F44" s="638">
        <v>40178</v>
      </c>
      <c r="G44" s="638">
        <v>40899</v>
      </c>
      <c r="H44" s="637"/>
      <c r="I44" s="148" t="s">
        <v>126</v>
      </c>
      <c r="J44" s="64"/>
      <c r="K44" s="64"/>
      <c r="L44" s="114"/>
    </row>
    <row r="45" spans="2:12">
      <c r="B45" s="66" t="s">
        <v>121</v>
      </c>
      <c r="C45" s="64" t="s">
        <v>122</v>
      </c>
      <c r="D45" s="77">
        <v>191</v>
      </c>
      <c r="E45" s="78">
        <v>252</v>
      </c>
      <c r="F45" s="77">
        <v>366</v>
      </c>
      <c r="G45" s="77">
        <v>366</v>
      </c>
      <c r="H45" s="102"/>
      <c r="I45" s="64"/>
      <c r="J45" s="64"/>
      <c r="K45" s="78" t="s">
        <v>128</v>
      </c>
      <c r="L45" s="102" t="s">
        <v>129</v>
      </c>
    </row>
    <row r="46" spans="2:12">
      <c r="B46" s="66" t="s">
        <v>125</v>
      </c>
      <c r="C46" s="64" t="s">
        <v>122</v>
      </c>
      <c r="D46" s="77">
        <v>230.483204134367</v>
      </c>
      <c r="E46" s="77">
        <v>299.25</v>
      </c>
      <c r="F46" s="77">
        <v>408.839694656489</v>
      </c>
      <c r="G46" s="77">
        <v>408.839694656489</v>
      </c>
      <c r="H46" s="102"/>
      <c r="I46" s="66"/>
      <c r="J46" s="64" t="s">
        <v>131</v>
      </c>
      <c r="K46" s="77">
        <v>135.876253188715</v>
      </c>
      <c r="L46" s="174">
        <v>78.2825904946534</v>
      </c>
    </row>
    <row r="47" spans="2:12">
      <c r="B47" s="66" t="s">
        <v>127</v>
      </c>
      <c r="C47" s="64" t="s">
        <v>59</v>
      </c>
      <c r="D47" s="78">
        <v>38.7</v>
      </c>
      <c r="E47" s="78">
        <v>38.4</v>
      </c>
      <c r="F47" s="78">
        <v>39.3</v>
      </c>
      <c r="G47" s="78">
        <v>39.3</v>
      </c>
      <c r="H47" s="102"/>
      <c r="I47" s="66"/>
      <c r="J47" s="64" t="s">
        <v>134</v>
      </c>
      <c r="K47" s="77">
        <f>K46/(K22*K23)*10000</f>
        <v>617.631639270961</v>
      </c>
      <c r="L47" s="174">
        <f>L46/(K22*K23)*10000</f>
        <v>355.837047010992</v>
      </c>
    </row>
    <row r="48" spans="2:12">
      <c r="B48" s="66" t="s">
        <v>130</v>
      </c>
      <c r="C48" s="64" t="s">
        <v>59</v>
      </c>
      <c r="D48" s="78">
        <v>46.7</v>
      </c>
      <c r="E48" s="78">
        <v>45.6</v>
      </c>
      <c r="F48" s="78">
        <v>43.9</v>
      </c>
      <c r="G48" s="78">
        <v>43.9</v>
      </c>
      <c r="H48" s="102"/>
      <c r="I48" s="148" t="s">
        <v>137</v>
      </c>
      <c r="J48" s="64"/>
      <c r="K48" s="64"/>
      <c r="L48" s="114"/>
    </row>
    <row r="49" spans="2:12">
      <c r="B49" s="57" t="s">
        <v>132</v>
      </c>
      <c r="C49" s="56" t="s">
        <v>62</v>
      </c>
      <c r="D49" s="70" t="s">
        <v>133</v>
      </c>
      <c r="E49" s="70" t="s">
        <v>133</v>
      </c>
      <c r="F49" s="70" t="s">
        <v>133</v>
      </c>
      <c r="G49" s="70" t="s">
        <v>133</v>
      </c>
      <c r="H49" s="102"/>
      <c r="I49" s="66"/>
      <c r="J49" s="64" t="s">
        <v>139</v>
      </c>
      <c r="K49" s="69">
        <v>20156.7287671233</v>
      </c>
      <c r="L49" s="98"/>
    </row>
    <row r="50" spans="2:12">
      <c r="B50" s="66" t="s">
        <v>135</v>
      </c>
      <c r="C50" s="64" t="s">
        <v>240</v>
      </c>
      <c r="D50" s="69">
        <v>5172</v>
      </c>
      <c r="E50" s="69">
        <v>4059</v>
      </c>
      <c r="F50" s="69">
        <v>8328</v>
      </c>
      <c r="G50" s="69">
        <v>7978</v>
      </c>
      <c r="H50" s="98"/>
      <c r="I50" s="66"/>
      <c r="J50" s="64" t="s">
        <v>141</v>
      </c>
      <c r="K50" s="69">
        <v>279.753512002238</v>
      </c>
      <c r="L50" s="114"/>
    </row>
    <row r="51" spans="2:12">
      <c r="B51" s="57" t="s">
        <v>138</v>
      </c>
      <c r="C51" s="64" t="s">
        <v>240</v>
      </c>
      <c r="D51" s="69">
        <v>4963.07329842932</v>
      </c>
      <c r="E51" s="69">
        <v>3749.30555555556</v>
      </c>
      <c r="F51" s="69">
        <v>7689.16393442623</v>
      </c>
      <c r="G51" s="69">
        <v>7240.98360655738</v>
      </c>
      <c r="H51" s="102"/>
      <c r="I51" s="65"/>
      <c r="J51" s="64"/>
      <c r="K51" s="78"/>
      <c r="L51" s="114"/>
    </row>
    <row r="52" spans="2:12">
      <c r="B52" s="57" t="s">
        <v>140</v>
      </c>
      <c r="C52" s="64" t="s">
        <v>59</v>
      </c>
      <c r="D52" s="69">
        <v>56.6560878816132</v>
      </c>
      <c r="E52" s="69">
        <v>42.8002917300863</v>
      </c>
      <c r="F52" s="69">
        <v>87.7758440002994</v>
      </c>
      <c r="G52" s="69">
        <v>82.6596302118422</v>
      </c>
      <c r="H52" s="102"/>
      <c r="I52" s="65"/>
      <c r="J52" s="64"/>
      <c r="K52" s="78"/>
      <c r="L52" s="114"/>
    </row>
    <row r="53" spans="2:12">
      <c r="B53" s="87"/>
      <c r="C53" s="64"/>
      <c r="D53" s="69"/>
      <c r="E53" s="69"/>
      <c r="F53" s="69"/>
      <c r="G53" s="69"/>
      <c r="H53" s="102"/>
      <c r="I53" s="66"/>
      <c r="J53" s="64"/>
      <c r="K53" s="78"/>
      <c r="L53" s="114"/>
    </row>
    <row r="54" spans="2:12">
      <c r="B54" s="88" t="s">
        <v>142</v>
      </c>
      <c r="C54" s="89"/>
      <c r="D54" s="89"/>
      <c r="E54" s="108"/>
      <c r="F54" s="99"/>
      <c r="G54" s="99"/>
      <c r="H54" s="109"/>
      <c r="I54" s="78"/>
      <c r="J54" s="78"/>
      <c r="K54" s="78"/>
      <c r="L54" s="114"/>
    </row>
    <row r="55" ht="17.6" spans="2:12">
      <c r="B55" s="90" t="s">
        <v>143</v>
      </c>
      <c r="C55" s="78"/>
      <c r="D55" s="64"/>
      <c r="E55" s="64"/>
      <c r="F55" s="64"/>
      <c r="G55" s="110" t="s">
        <v>144</v>
      </c>
      <c r="H55" s="64"/>
      <c r="I55" s="83"/>
      <c r="J55" s="140"/>
      <c r="K55" s="140"/>
      <c r="L55" s="152"/>
    </row>
    <row r="56" spans="2:12">
      <c r="B56" s="66"/>
      <c r="C56" s="91" t="s">
        <v>145</v>
      </c>
      <c r="D56" s="92"/>
      <c r="E56" s="92"/>
      <c r="F56" s="64"/>
      <c r="G56" s="64"/>
      <c r="H56" s="64"/>
      <c r="I56" s="78" t="s">
        <v>145</v>
      </c>
      <c r="J56" s="64"/>
      <c r="K56" s="64"/>
      <c r="L56" s="114"/>
    </row>
    <row r="57" spans="2:12">
      <c r="B57" s="639" t="s">
        <v>464</v>
      </c>
      <c r="C57" s="640">
        <v>706022.75</v>
      </c>
      <c r="D57" s="641">
        <v>9.59634336730547</v>
      </c>
      <c r="E57" s="111" t="s">
        <v>147</v>
      </c>
      <c r="F57" s="64"/>
      <c r="G57" s="64" t="s">
        <v>381</v>
      </c>
      <c r="H57" s="64"/>
      <c r="I57" s="69">
        <v>55390</v>
      </c>
      <c r="J57" s="641">
        <v>0.661774411771449</v>
      </c>
      <c r="K57" s="111" t="s">
        <v>149</v>
      </c>
      <c r="L57" s="114"/>
    </row>
    <row r="58" spans="2:12">
      <c r="B58" s="639" t="s">
        <v>829</v>
      </c>
      <c r="C58" s="640">
        <v>73907.0400000001</v>
      </c>
      <c r="D58" s="641">
        <v>1.00455308713661</v>
      </c>
      <c r="E58" s="111" t="s">
        <v>147</v>
      </c>
      <c r="F58" s="64"/>
      <c r="G58" s="64" t="s">
        <v>274</v>
      </c>
      <c r="H58" s="64"/>
      <c r="I58" s="69">
        <v>4874630</v>
      </c>
      <c r="J58" s="641">
        <v>58.2398519742455</v>
      </c>
      <c r="K58" s="111" t="s">
        <v>149</v>
      </c>
      <c r="L58" s="114"/>
    </row>
    <row r="59" spans="2:12">
      <c r="B59" s="81"/>
      <c r="C59" s="94"/>
      <c r="D59" s="94"/>
      <c r="E59" s="94"/>
      <c r="F59" s="94"/>
      <c r="G59" s="649"/>
      <c r="H59" s="94"/>
      <c r="I59" s="89"/>
      <c r="J59" s="653"/>
      <c r="K59" s="153"/>
      <c r="L59" s="115"/>
    </row>
    <row r="62" ht="16.8" spans="4:11">
      <c r="D62"/>
      <c r="E62"/>
      <c r="F62"/>
      <c r="G62"/>
      <c r="H62"/>
      <c r="I62"/>
      <c r="J62"/>
      <c r="K62"/>
    </row>
    <row r="63" ht="16.8" spans="2:11">
      <c r="B63" s="632" t="s">
        <v>77</v>
      </c>
      <c r="D63"/>
      <c r="E63"/>
      <c r="F63"/>
      <c r="G63"/>
      <c r="H63"/>
      <c r="I63"/>
      <c r="J63"/>
      <c r="K63"/>
    </row>
  </sheetData>
  <mergeCells count="8">
    <mergeCell ref="B2:L2"/>
    <mergeCell ref="E12:F12"/>
    <mergeCell ref="E23:F23"/>
    <mergeCell ref="E24:F24"/>
    <mergeCell ref="E25:F25"/>
    <mergeCell ref="E26:F26"/>
    <mergeCell ref="E27:F27"/>
    <mergeCell ref="E28:F28"/>
  </mergeCells>
  <pageMargins left="0.7" right="0.7" top="0.787401575" bottom="0.7874015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L72"/>
  <sheetViews>
    <sheetView zoomScale="85" zoomScaleNormal="85" workbookViewId="0">
      <selection activeCell="O25" sqref="O25"/>
    </sheetView>
  </sheetViews>
  <sheetFormatPr defaultColWidth="11.5" defaultRowHeight="16.8"/>
  <cols>
    <col min="1" max="4" width="11.5" style="458"/>
    <col min="5" max="5" width="14.8365384615385" style="458" customWidth="1"/>
    <col min="6" max="6" width="14.5" style="458" customWidth="1"/>
    <col min="7" max="12" width="11.5" style="458"/>
  </cols>
  <sheetData>
    <row r="1" spans="1:1">
      <c r="A1" s="243" t="s">
        <v>830</v>
      </c>
    </row>
    <row r="2" ht="34" spans="1:8">
      <c r="A2" s="458" t="s">
        <v>154</v>
      </c>
      <c r="B2" s="459" t="s">
        <v>155</v>
      </c>
      <c r="C2" s="459" t="s">
        <v>291</v>
      </c>
      <c r="D2" s="244" t="s">
        <v>58</v>
      </c>
      <c r="E2" s="459" t="s">
        <v>372</v>
      </c>
      <c r="F2" s="459" t="s">
        <v>384</v>
      </c>
      <c r="G2" s="459" t="s">
        <v>661</v>
      </c>
      <c r="H2" s="458" t="s">
        <v>386</v>
      </c>
    </row>
    <row r="3" spans="1:8">
      <c r="A3" s="460"/>
      <c r="B3" s="460" t="s">
        <v>59</v>
      </c>
      <c r="C3" s="460" t="s">
        <v>59</v>
      </c>
      <c r="D3" s="460" t="s">
        <v>59</v>
      </c>
      <c r="E3" s="460" t="s">
        <v>59</v>
      </c>
      <c r="F3" s="460" t="s">
        <v>59</v>
      </c>
      <c r="G3" s="460" t="s">
        <v>56</v>
      </c>
      <c r="H3" s="460"/>
    </row>
    <row r="4" spans="1:8">
      <c r="A4" s="461">
        <v>42979</v>
      </c>
      <c r="B4" s="462">
        <v>22.6563541192744</v>
      </c>
      <c r="C4" s="462">
        <v>22.6563541192744</v>
      </c>
      <c r="D4" s="462">
        <v>52.64684120791</v>
      </c>
      <c r="E4" s="462">
        <v>1.99909006934774</v>
      </c>
      <c r="F4" s="465">
        <v>0.0413604841934016</v>
      </c>
      <c r="G4" s="462">
        <v>72.533</v>
      </c>
      <c r="H4" s="465">
        <v>100</v>
      </c>
    </row>
    <row r="5" spans="1:8">
      <c r="A5" s="461">
        <v>43009</v>
      </c>
      <c r="B5" s="462">
        <v>22.6036881149533</v>
      </c>
      <c r="C5" s="462">
        <v>22.6036881149533</v>
      </c>
      <c r="D5" s="462">
        <v>54.7504424454164</v>
      </c>
      <c r="E5" s="462">
        <v>0</v>
      </c>
      <c r="F5" s="465">
        <v>0.0421813246769919</v>
      </c>
      <c r="G5" s="462">
        <v>70.3567741935484</v>
      </c>
      <c r="H5" s="465">
        <v>100</v>
      </c>
    </row>
    <row r="6" spans="1:8">
      <c r="A6" s="461">
        <v>43040</v>
      </c>
      <c r="B6" s="462">
        <v>23.0724338703329</v>
      </c>
      <c r="C6" s="462">
        <v>23.0724338703329</v>
      </c>
      <c r="D6" s="462">
        <v>52.7738946720774</v>
      </c>
      <c r="E6" s="462">
        <v>1.0405215274856</v>
      </c>
      <c r="F6" s="465">
        <v>0.0407160597711757</v>
      </c>
      <c r="G6" s="462">
        <v>73.681</v>
      </c>
      <c r="H6" s="465">
        <v>100</v>
      </c>
    </row>
    <row r="7" spans="1:8">
      <c r="A7" s="461">
        <v>43070</v>
      </c>
      <c r="B7" s="462">
        <v>22.7986537113786</v>
      </c>
      <c r="C7" s="462">
        <v>22.7986537113786</v>
      </c>
      <c r="D7" s="462">
        <v>52.6315789473684</v>
      </c>
      <c r="E7" s="462">
        <v>1.73044809953537</v>
      </c>
      <c r="F7" s="465">
        <v>0.0406655303390813</v>
      </c>
      <c r="G7" s="462">
        <v>74.5658064516129</v>
      </c>
      <c r="H7" s="465">
        <v>100</v>
      </c>
    </row>
    <row r="8" spans="1:8">
      <c r="A8" s="461">
        <v>43101</v>
      </c>
      <c r="B8" s="462">
        <v>22.7079805409412</v>
      </c>
      <c r="C8" s="462">
        <v>22.7079805409412</v>
      </c>
      <c r="D8" s="462">
        <v>52.0012754387552</v>
      </c>
      <c r="E8" s="462">
        <v>2.54225968105413</v>
      </c>
      <c r="F8" s="465">
        <v>0.0405037983083201</v>
      </c>
      <c r="G8" s="462">
        <v>74.8635483870968</v>
      </c>
      <c r="H8" s="465">
        <v>100</v>
      </c>
    </row>
    <row r="9" spans="1:8">
      <c r="A9" s="461">
        <v>43132</v>
      </c>
      <c r="B9" s="462">
        <v>22.3206435472942</v>
      </c>
      <c r="C9" s="462">
        <v>22.3206435472942</v>
      </c>
      <c r="D9" s="462">
        <v>52.6933654700582</v>
      </c>
      <c r="E9" s="462">
        <v>2.62595806438755</v>
      </c>
      <c r="F9" s="465">
        <v>0.0393893709658133</v>
      </c>
      <c r="G9" s="462">
        <v>76.1626785714286</v>
      </c>
      <c r="H9" s="465">
        <v>100</v>
      </c>
    </row>
    <row r="10" spans="1:8">
      <c r="A10" s="461">
        <v>43160</v>
      </c>
      <c r="B10" s="462">
        <v>22.8205705575667</v>
      </c>
      <c r="C10" s="462">
        <v>22.8205705575667</v>
      </c>
      <c r="D10" s="462">
        <v>51.6333812550881</v>
      </c>
      <c r="E10" s="462">
        <v>2.68477300677256</v>
      </c>
      <c r="F10" s="465">
        <v>0.0407046230059065</v>
      </c>
      <c r="G10" s="462">
        <v>74.4941935483871</v>
      </c>
      <c r="H10" s="465">
        <v>100</v>
      </c>
    </row>
    <row r="11" spans="1:8">
      <c r="A11" s="461">
        <v>43191</v>
      </c>
      <c r="B11" s="462">
        <v>23.6464886550541</v>
      </c>
      <c r="C11" s="462">
        <v>23.6464886550541</v>
      </c>
      <c r="D11" s="462">
        <v>50.466829027834</v>
      </c>
      <c r="E11" s="462">
        <v>2.19626829613506</v>
      </c>
      <c r="F11" s="465">
        <v>0.0439253659227011</v>
      </c>
      <c r="G11" s="462">
        <v>68.2976666666667</v>
      </c>
      <c r="H11" s="465">
        <v>100</v>
      </c>
    </row>
    <row r="12" spans="1:8">
      <c r="A12" s="461">
        <v>43221</v>
      </c>
      <c r="B12" s="462">
        <v>22.2553495187861</v>
      </c>
      <c r="C12" s="462">
        <v>22.2553495187861</v>
      </c>
      <c r="D12" s="462">
        <v>55.4504491188655</v>
      </c>
      <c r="E12" s="462">
        <v>0</v>
      </c>
      <c r="F12" s="465">
        <v>0.0388518435622073</v>
      </c>
      <c r="G12" s="462">
        <v>76.3861290322581</v>
      </c>
      <c r="H12" s="465">
        <v>100</v>
      </c>
    </row>
    <row r="13" spans="1:8">
      <c r="A13" s="461">
        <v>43252</v>
      </c>
      <c r="B13" s="462">
        <v>22.2003411017115</v>
      </c>
      <c r="C13" s="462">
        <v>22.2003411017115</v>
      </c>
      <c r="D13" s="462">
        <v>54.2107082257052</v>
      </c>
      <c r="E13" s="462">
        <v>1.34943249833933</v>
      </c>
      <c r="F13" s="465">
        <v>0.0391770725324321</v>
      </c>
      <c r="G13" s="462">
        <v>76.5754</v>
      </c>
      <c r="H13" s="465">
        <v>100</v>
      </c>
    </row>
    <row r="14" spans="1:8">
      <c r="A14" s="461">
        <v>43282</v>
      </c>
      <c r="B14" s="462">
        <v>22.1937722674708</v>
      </c>
      <c r="C14" s="462">
        <v>22.1937722674708</v>
      </c>
      <c r="D14" s="462">
        <v>53.2566307579573</v>
      </c>
      <c r="E14" s="462">
        <v>2.31623809243053</v>
      </c>
      <c r="F14" s="465">
        <v>0.039586614670631</v>
      </c>
      <c r="G14" s="462">
        <v>76.598064516129</v>
      </c>
      <c r="H14" s="465">
        <v>100</v>
      </c>
    </row>
    <row r="15" spans="1:8">
      <c r="A15" s="463">
        <v>43313</v>
      </c>
      <c r="B15" s="464">
        <v>22.5690459796496</v>
      </c>
      <c r="C15" s="464">
        <v>22.5690459796496</v>
      </c>
      <c r="D15" s="464">
        <v>52.064366409099</v>
      </c>
      <c r="E15" s="464">
        <v>2.74143778848851</v>
      </c>
      <c r="F15" s="471">
        <v>0.0561038431132533</v>
      </c>
      <c r="G15" s="464">
        <v>50.5974193548387</v>
      </c>
      <c r="H15" s="471">
        <v>100</v>
      </c>
    </row>
    <row r="16" ht="34" spans="1:8">
      <c r="A16" s="459" t="s">
        <v>831</v>
      </c>
      <c r="B16" s="465">
        <v>22.6537768320344</v>
      </c>
      <c r="C16" s="465">
        <v>22.6537768320344</v>
      </c>
      <c r="D16" s="465">
        <v>52.8816469146779</v>
      </c>
      <c r="E16" s="465">
        <v>1.76886892699803</v>
      </c>
      <c r="F16" s="465">
        <v>0.0419304942551596</v>
      </c>
      <c r="G16" s="465">
        <v>72.0926400601639</v>
      </c>
      <c r="H16" s="465">
        <v>100</v>
      </c>
    </row>
    <row r="23" spans="4:6">
      <c r="D23" s="458" t="s">
        <v>104</v>
      </c>
      <c r="E23" s="458" t="s">
        <v>259</v>
      </c>
      <c r="F23" s="458" t="s">
        <v>178</v>
      </c>
    </row>
    <row r="24" ht="34" spans="4:6">
      <c r="D24" s="460"/>
      <c r="E24" s="260" t="s">
        <v>475</v>
      </c>
      <c r="F24" s="260" t="s">
        <v>475</v>
      </c>
    </row>
    <row r="25" spans="4:6">
      <c r="D25" s="461">
        <v>42979</v>
      </c>
      <c r="E25" s="472">
        <v>0.138105614903832</v>
      </c>
      <c r="F25" s="261">
        <v>0.139241519638302</v>
      </c>
    </row>
    <row r="26" spans="4:6">
      <c r="D26" s="461">
        <v>43009</v>
      </c>
      <c r="E26" s="472">
        <v>0.127279840562735</v>
      </c>
      <c r="F26" s="261">
        <v>0.128409935544385</v>
      </c>
    </row>
    <row r="27" spans="4:6">
      <c r="D27" s="461">
        <v>43040</v>
      </c>
      <c r="E27" s="472">
        <v>0.121016583168184</v>
      </c>
      <c r="F27" s="261">
        <v>0.130414522602036</v>
      </c>
    </row>
    <row r="28" spans="4:6">
      <c r="D28" s="461">
        <v>43070</v>
      </c>
      <c r="E28" s="472">
        <v>0.130532655290739</v>
      </c>
      <c r="F28" s="261">
        <v>0.132516408945084</v>
      </c>
    </row>
    <row r="29" spans="4:6">
      <c r="D29" s="461">
        <v>43101</v>
      </c>
      <c r="E29" s="472">
        <v>0.114964959568733</v>
      </c>
      <c r="F29" s="261">
        <v>0.127569874307394</v>
      </c>
    </row>
    <row r="30" spans="4:6">
      <c r="D30" s="461">
        <v>43132</v>
      </c>
      <c r="E30" s="472">
        <v>0.115708148805155</v>
      </c>
      <c r="F30" s="261">
        <v>0.12053738398222</v>
      </c>
    </row>
    <row r="31" spans="4:6">
      <c r="D31" s="461">
        <v>43160</v>
      </c>
      <c r="E31" s="472">
        <v>0.109900204825727</v>
      </c>
      <c r="F31" s="261">
        <v>0.107612896680704</v>
      </c>
    </row>
    <row r="32" spans="4:6">
      <c r="D32" s="461">
        <v>43191</v>
      </c>
      <c r="E32" s="472">
        <v>0.138435901043599</v>
      </c>
      <c r="F32" s="261">
        <v>0.132912885625094</v>
      </c>
    </row>
    <row r="33" spans="4:6">
      <c r="D33" s="461">
        <v>43221</v>
      </c>
      <c r="E33" s="472">
        <v>0.117166374200809</v>
      </c>
      <c r="F33" s="261">
        <v>0.124166771217223</v>
      </c>
    </row>
    <row r="34" spans="4:6">
      <c r="D34" s="461">
        <v>43252</v>
      </c>
      <c r="E34" s="472">
        <v>0.122842401073364</v>
      </c>
      <c r="F34" s="261">
        <v>0.129124062809132</v>
      </c>
    </row>
    <row r="35" spans="4:6">
      <c r="D35" s="461">
        <v>43282</v>
      </c>
      <c r="E35" s="472">
        <v>0.121255610512272</v>
      </c>
      <c r="F35" s="261">
        <v>0.122081083509935</v>
      </c>
    </row>
    <row r="36" spans="4:6">
      <c r="D36" s="463">
        <v>43313</v>
      </c>
      <c r="E36" s="600">
        <v>0.117553510026437</v>
      </c>
      <c r="F36" s="262">
        <v>0.124085377385011</v>
      </c>
    </row>
    <row r="37" ht="17.55" spans="4:6">
      <c r="D37" s="248"/>
      <c r="E37" s="248">
        <f>AVERAGE(E25:E36)</f>
        <v>0.122896816998465</v>
      </c>
      <c r="F37" s="248">
        <f>AVERAGE(F25:F36)</f>
        <v>0.12655606018721</v>
      </c>
    </row>
    <row r="38" ht="17.55"/>
    <row r="41" ht="84" spans="1:12">
      <c r="A41" s="459"/>
      <c r="B41" s="459" t="s">
        <v>393</v>
      </c>
      <c r="C41" s="459" t="s">
        <v>394</v>
      </c>
      <c r="D41" s="459" t="s">
        <v>395</v>
      </c>
      <c r="E41" s="459" t="s">
        <v>396</v>
      </c>
      <c r="F41" s="459" t="s">
        <v>183</v>
      </c>
      <c r="G41" s="459" t="s">
        <v>184</v>
      </c>
      <c r="H41" s="459" t="s">
        <v>397</v>
      </c>
      <c r="I41" s="459" t="s">
        <v>398</v>
      </c>
      <c r="J41" s="459" t="s">
        <v>832</v>
      </c>
      <c r="K41" s="459" t="s">
        <v>400</v>
      </c>
      <c r="L41" s="459" t="s">
        <v>401</v>
      </c>
    </row>
    <row r="42" ht="34" spans="1:12">
      <c r="A42" s="597" t="s">
        <v>154</v>
      </c>
      <c r="B42" s="597" t="s">
        <v>185</v>
      </c>
      <c r="C42" s="597" t="s">
        <v>185</v>
      </c>
      <c r="D42" s="597" t="s">
        <v>185</v>
      </c>
      <c r="E42" s="597" t="s">
        <v>185</v>
      </c>
      <c r="F42" s="597" t="s">
        <v>59</v>
      </c>
      <c r="G42" s="597" t="s">
        <v>402</v>
      </c>
      <c r="H42" s="597" t="s">
        <v>185</v>
      </c>
      <c r="I42" s="597" t="s">
        <v>403</v>
      </c>
      <c r="J42" s="597" t="s">
        <v>404</v>
      </c>
      <c r="K42" s="597" t="s">
        <v>122</v>
      </c>
      <c r="L42" s="597" t="s">
        <v>122</v>
      </c>
    </row>
    <row r="43" spans="1:12">
      <c r="A43" s="461">
        <v>42979</v>
      </c>
      <c r="B43" s="466">
        <v>631133</v>
      </c>
      <c r="C43" s="466">
        <v>716352.467266308</v>
      </c>
      <c r="D43" s="466">
        <v>368990</v>
      </c>
      <c r="E43" s="601" t="s">
        <v>833</v>
      </c>
      <c r="F43" s="264">
        <f t="shared" ref="F43:F54" si="0">B43/J43/K43*100</f>
        <v>74.6020094562648</v>
      </c>
      <c r="G43" s="264">
        <f t="shared" ref="G43:G54" si="1">D43/J43/L43*100</f>
        <v>38.0348316175315</v>
      </c>
      <c r="H43" s="601" t="s">
        <v>833</v>
      </c>
      <c r="I43" s="458">
        <v>30</v>
      </c>
      <c r="J43" s="458">
        <v>720</v>
      </c>
      <c r="K43" s="487">
        <f t="shared" ref="K43:K54" si="2">191+366+366+252</f>
        <v>1175</v>
      </c>
      <c r="L43" s="487">
        <f t="shared" ref="L43:L54" si="3">191*46.7/38.7+366*43.9/39.3+366*43.9/39.3+252*45.6/38.4</f>
        <v>1347.41259344734</v>
      </c>
    </row>
    <row r="44" spans="1:12">
      <c r="A44" s="461">
        <v>43009</v>
      </c>
      <c r="B44" s="466">
        <v>591952</v>
      </c>
      <c r="C44" s="466">
        <v>671086.741306192</v>
      </c>
      <c r="D44" s="466">
        <v>466100</v>
      </c>
      <c r="E44" s="602"/>
      <c r="F44" s="264">
        <f t="shared" si="0"/>
        <v>67.7135666895447</v>
      </c>
      <c r="G44" s="264">
        <f t="shared" si="1"/>
        <v>46.4949264739181</v>
      </c>
      <c r="H44" s="602"/>
      <c r="I44" s="458">
        <v>31</v>
      </c>
      <c r="J44" s="458">
        <v>744</v>
      </c>
      <c r="K44" s="487">
        <f t="shared" si="2"/>
        <v>1175</v>
      </c>
      <c r="L44" s="487">
        <f t="shared" si="3"/>
        <v>1347.41259344734</v>
      </c>
    </row>
    <row r="45" spans="1:12">
      <c r="A45" s="461">
        <v>43040</v>
      </c>
      <c r="B45" s="466">
        <v>636438</v>
      </c>
      <c r="C45" s="466">
        <v>722864.222853423</v>
      </c>
      <c r="D45" s="466">
        <v>561430</v>
      </c>
      <c r="E45" s="602"/>
      <c r="F45" s="264">
        <f t="shared" si="0"/>
        <v>75.2290780141844</v>
      </c>
      <c r="G45" s="264">
        <f t="shared" si="1"/>
        <v>57.8712038673966</v>
      </c>
      <c r="H45" s="602"/>
      <c r="I45" s="458">
        <v>30</v>
      </c>
      <c r="J45" s="458">
        <v>720</v>
      </c>
      <c r="K45" s="487">
        <f t="shared" si="2"/>
        <v>1175</v>
      </c>
      <c r="L45" s="487">
        <f t="shared" si="3"/>
        <v>1347.41259344734</v>
      </c>
    </row>
    <row r="46" spans="1:12">
      <c r="A46" s="461">
        <v>43070</v>
      </c>
      <c r="B46" s="466">
        <v>637975</v>
      </c>
      <c r="C46" s="466">
        <v>728461.354722666</v>
      </c>
      <c r="D46" s="466">
        <v>522290</v>
      </c>
      <c r="E46" s="602"/>
      <c r="F46" s="264">
        <f t="shared" si="0"/>
        <v>72.9781514527568</v>
      </c>
      <c r="G46" s="264">
        <f t="shared" si="1"/>
        <v>52.1000539542216</v>
      </c>
      <c r="H46" s="602"/>
      <c r="I46" s="458">
        <v>31</v>
      </c>
      <c r="J46" s="458">
        <v>744</v>
      </c>
      <c r="K46" s="487">
        <f t="shared" si="2"/>
        <v>1175</v>
      </c>
      <c r="L46" s="487">
        <f t="shared" si="3"/>
        <v>1347.41259344734</v>
      </c>
    </row>
    <row r="47" spans="1:12">
      <c r="A47" s="461">
        <v>43101</v>
      </c>
      <c r="B47" s="466">
        <v>619191</v>
      </c>
      <c r="C47" s="466">
        <v>707076.098965422</v>
      </c>
      <c r="D47" s="466">
        <v>539500</v>
      </c>
      <c r="E47" s="602"/>
      <c r="F47" s="264">
        <f t="shared" si="0"/>
        <v>70.8294440631434</v>
      </c>
      <c r="G47" s="264">
        <f t="shared" si="1"/>
        <v>53.8168050475838</v>
      </c>
      <c r="H47" s="602"/>
      <c r="I47" s="458">
        <v>31</v>
      </c>
      <c r="J47" s="458">
        <v>744</v>
      </c>
      <c r="K47" s="487">
        <f t="shared" si="2"/>
        <v>1175</v>
      </c>
      <c r="L47" s="487">
        <f t="shared" si="3"/>
        <v>1347.41259344734</v>
      </c>
    </row>
    <row r="48" spans="1:12">
      <c r="A48" s="461">
        <v>43132</v>
      </c>
      <c r="B48" s="466">
        <v>531626</v>
      </c>
      <c r="C48" s="466">
        <v>605196.276379766</v>
      </c>
      <c r="D48" s="466">
        <v>526350</v>
      </c>
      <c r="E48" s="602"/>
      <c r="F48" s="264">
        <f t="shared" si="0"/>
        <v>67.3285207700101</v>
      </c>
      <c r="G48" s="264">
        <f t="shared" si="1"/>
        <v>58.1305928399754</v>
      </c>
      <c r="H48" s="602"/>
      <c r="I48" s="458">
        <v>28</v>
      </c>
      <c r="J48" s="458">
        <v>672</v>
      </c>
      <c r="K48" s="487">
        <f t="shared" si="2"/>
        <v>1175</v>
      </c>
      <c r="L48" s="487">
        <f t="shared" si="3"/>
        <v>1347.41259344734</v>
      </c>
    </row>
    <row r="49" spans="1:12">
      <c r="A49" s="461">
        <v>43160</v>
      </c>
      <c r="B49" s="466">
        <v>677530</v>
      </c>
      <c r="C49" s="466">
        <v>769870.27878622</v>
      </c>
      <c r="D49" s="466">
        <v>544950</v>
      </c>
      <c r="E49" s="602"/>
      <c r="F49" s="264">
        <f t="shared" si="0"/>
        <v>77.5028597574926</v>
      </c>
      <c r="G49" s="264">
        <f t="shared" si="1"/>
        <v>54.3604595193342</v>
      </c>
      <c r="H49" s="602"/>
      <c r="I49" s="458">
        <v>31</v>
      </c>
      <c r="J49" s="458">
        <v>744</v>
      </c>
      <c r="K49" s="487">
        <f t="shared" si="2"/>
        <v>1175</v>
      </c>
      <c r="L49" s="487">
        <f t="shared" si="3"/>
        <v>1347.41259344734</v>
      </c>
    </row>
    <row r="50" spans="1:12">
      <c r="A50" s="461">
        <v>43191</v>
      </c>
      <c r="B50" s="466">
        <v>578225</v>
      </c>
      <c r="C50" s="466">
        <v>659118.644393406</v>
      </c>
      <c r="D50" s="466">
        <v>449010</v>
      </c>
      <c r="E50" s="602"/>
      <c r="F50" s="264">
        <f t="shared" si="0"/>
        <v>68.3481087470449</v>
      </c>
      <c r="G50" s="264">
        <f t="shared" si="1"/>
        <v>46.2831506127207</v>
      </c>
      <c r="H50" s="602"/>
      <c r="I50" s="458">
        <v>30</v>
      </c>
      <c r="J50" s="458">
        <v>720</v>
      </c>
      <c r="K50" s="487">
        <f t="shared" si="2"/>
        <v>1175</v>
      </c>
      <c r="L50" s="487">
        <f t="shared" si="3"/>
        <v>1347.41259344734</v>
      </c>
    </row>
    <row r="51" spans="1:12">
      <c r="A51" s="461">
        <v>43221</v>
      </c>
      <c r="B51" s="466">
        <v>641581</v>
      </c>
      <c r="C51" s="466">
        <v>729221.029936436</v>
      </c>
      <c r="D51" s="466">
        <v>326470</v>
      </c>
      <c r="E51" s="602"/>
      <c r="F51" s="264">
        <f t="shared" si="0"/>
        <v>73.3906428734843</v>
      </c>
      <c r="G51" s="264">
        <f t="shared" si="1"/>
        <v>32.5663991545592</v>
      </c>
      <c r="H51" s="602"/>
      <c r="I51" s="458">
        <v>31</v>
      </c>
      <c r="J51" s="458">
        <v>744</v>
      </c>
      <c r="K51" s="487">
        <f t="shared" si="2"/>
        <v>1175</v>
      </c>
      <c r="L51" s="487">
        <f t="shared" si="3"/>
        <v>1347.41259344734</v>
      </c>
    </row>
    <row r="52" spans="1:12">
      <c r="A52" s="461">
        <v>43252</v>
      </c>
      <c r="B52" s="466">
        <v>673952</v>
      </c>
      <c r="C52" s="466">
        <v>764904.912906582</v>
      </c>
      <c r="D52" s="466">
        <v>263070</v>
      </c>
      <c r="E52" s="602"/>
      <c r="F52" s="264">
        <f t="shared" si="0"/>
        <v>79.6633569739953</v>
      </c>
      <c r="G52" s="264">
        <f t="shared" si="1"/>
        <v>27.1167867791106</v>
      </c>
      <c r="H52" s="602"/>
      <c r="I52" s="458">
        <v>30</v>
      </c>
      <c r="J52" s="458">
        <v>720</v>
      </c>
      <c r="K52" s="487">
        <f t="shared" si="2"/>
        <v>1175</v>
      </c>
      <c r="L52" s="487">
        <f t="shared" si="3"/>
        <v>1347.41259344734</v>
      </c>
    </row>
    <row r="53" spans="1:12">
      <c r="A53" s="461">
        <v>43282</v>
      </c>
      <c r="B53" s="466">
        <v>690968</v>
      </c>
      <c r="C53" s="466">
        <v>784351.218324063</v>
      </c>
      <c r="D53" s="466">
        <v>244540</v>
      </c>
      <c r="E53" s="602"/>
      <c r="F53" s="264">
        <f t="shared" si="0"/>
        <v>79.0400366048959</v>
      </c>
      <c r="G53" s="264">
        <f t="shared" si="1"/>
        <v>24.3936265177686</v>
      </c>
      <c r="H53" s="602"/>
      <c r="I53" s="458">
        <v>31</v>
      </c>
      <c r="J53" s="458">
        <v>744</v>
      </c>
      <c r="K53" s="487">
        <f t="shared" si="2"/>
        <v>1175</v>
      </c>
      <c r="L53" s="487">
        <f t="shared" si="3"/>
        <v>1347.41259344734</v>
      </c>
    </row>
    <row r="54" spans="1:12">
      <c r="A54" s="463">
        <v>43313</v>
      </c>
      <c r="B54" s="467">
        <v>446635</v>
      </c>
      <c r="C54" s="467">
        <v>511418.439667288</v>
      </c>
      <c r="D54" s="467">
        <v>113500</v>
      </c>
      <c r="E54" s="603"/>
      <c r="F54" s="267">
        <f t="shared" si="0"/>
        <v>51.0907115076642</v>
      </c>
      <c r="G54" s="267">
        <f t="shared" si="1"/>
        <v>11.3219784483795</v>
      </c>
      <c r="H54" s="603"/>
      <c r="I54" s="460">
        <v>31</v>
      </c>
      <c r="J54" s="460">
        <v>744</v>
      </c>
      <c r="K54" s="488">
        <f t="shared" si="2"/>
        <v>1175</v>
      </c>
      <c r="L54" s="488">
        <f t="shared" si="3"/>
        <v>1347.41259344734</v>
      </c>
    </row>
    <row r="55" spans="1:12">
      <c r="A55" s="458" t="s">
        <v>530</v>
      </c>
      <c r="B55" s="466">
        <v>7357206</v>
      </c>
      <c r="C55" s="466">
        <v>8369921.68550777</v>
      </c>
      <c r="D55" s="466">
        <v>4926200</v>
      </c>
      <c r="E55" s="466"/>
      <c r="F55" s="268">
        <f>AVERAGE(F43:F54)</f>
        <v>71.4763739092068</v>
      </c>
      <c r="G55" s="269">
        <f>AVERAGE(G43:G54)</f>
        <v>41.874234569375</v>
      </c>
      <c r="H55" s="268"/>
      <c r="I55" s="268"/>
      <c r="J55" s="268"/>
      <c r="K55" s="264">
        <f>AVERAGE(K43:K54)</f>
        <v>1175</v>
      </c>
      <c r="L55" s="273">
        <f>AVERAGE(L43:L54)</f>
        <v>1347.41259344734</v>
      </c>
    </row>
    <row r="56" spans="1:5">
      <c r="A56" s="458" t="s">
        <v>531</v>
      </c>
      <c r="B56" s="466"/>
      <c r="C56" s="466"/>
      <c r="D56" s="466"/>
      <c r="E56" s="466">
        <f>SUM(E43:E54)</f>
        <v>0</v>
      </c>
    </row>
    <row r="58" spans="6:6">
      <c r="F58" s="270"/>
    </row>
    <row r="61" spans="6:6">
      <c r="F61" s="458">
        <f>B56/K55/8760</f>
        <v>0</v>
      </c>
    </row>
    <row r="63" ht="17.55"/>
    <row r="64" spans="1:11">
      <c r="A64" s="253" t="s">
        <v>834</v>
      </c>
      <c r="B64" s="254"/>
      <c r="C64" s="598" t="s">
        <v>823</v>
      </c>
      <c r="D64" s="599"/>
      <c r="E64" s="598" t="s">
        <v>273</v>
      </c>
      <c r="F64" s="599"/>
      <c r="G64" s="598" t="s">
        <v>315</v>
      </c>
      <c r="H64" s="599"/>
      <c r="I64" s="598" t="s">
        <v>824</v>
      </c>
      <c r="J64" s="604"/>
      <c r="K64" s="605"/>
    </row>
    <row r="65" spans="1:11">
      <c r="A65" s="256" t="s">
        <v>835</v>
      </c>
      <c r="B65" s="468"/>
      <c r="C65" s="606" t="s">
        <v>836</v>
      </c>
      <c r="D65" s="607"/>
      <c r="E65" s="617" t="s">
        <v>837</v>
      </c>
      <c r="F65" s="607"/>
      <c r="G65" s="617" t="s">
        <v>837</v>
      </c>
      <c r="H65" s="607"/>
      <c r="I65" s="617" t="s">
        <v>838</v>
      </c>
      <c r="J65" s="606"/>
      <c r="K65" s="625"/>
    </row>
    <row r="66" spans="1:11">
      <c r="A66" s="274"/>
      <c r="B66" s="469"/>
      <c r="C66" s="608"/>
      <c r="D66" s="609"/>
      <c r="E66" s="618"/>
      <c r="F66" s="619"/>
      <c r="G66" s="618"/>
      <c r="H66" s="619"/>
      <c r="I66" s="626"/>
      <c r="J66" s="608"/>
      <c r="K66" s="627"/>
    </row>
    <row r="67" spans="1:11">
      <c r="A67" s="277" t="s">
        <v>839</v>
      </c>
      <c r="B67" s="470"/>
      <c r="C67" s="610" t="s">
        <v>840</v>
      </c>
      <c r="D67" s="611"/>
      <c r="E67" s="610" t="s">
        <v>840</v>
      </c>
      <c r="F67" s="611"/>
      <c r="G67" s="610" t="s">
        <v>840</v>
      </c>
      <c r="H67" s="611"/>
      <c r="I67" s="610" t="s">
        <v>840</v>
      </c>
      <c r="J67" s="628"/>
      <c r="K67" s="629"/>
    </row>
    <row r="68" spans="1:11">
      <c r="A68" s="277" t="s">
        <v>841</v>
      </c>
      <c r="B68" s="470"/>
      <c r="C68" s="610" t="s">
        <v>842</v>
      </c>
      <c r="D68" s="611"/>
      <c r="E68" s="610" t="s">
        <v>842</v>
      </c>
      <c r="F68" s="611"/>
      <c r="G68" s="610" t="s">
        <v>842</v>
      </c>
      <c r="H68" s="611"/>
      <c r="I68" s="610" t="s">
        <v>842</v>
      </c>
      <c r="J68" s="628"/>
      <c r="K68" s="629"/>
    </row>
    <row r="69" spans="1:11">
      <c r="A69" s="280" t="s">
        <v>843</v>
      </c>
      <c r="B69" s="489" t="s">
        <v>844</v>
      </c>
      <c r="C69" s="612">
        <v>191</v>
      </c>
      <c r="D69" s="613"/>
      <c r="E69" s="620">
        <v>366</v>
      </c>
      <c r="F69" s="621"/>
      <c r="G69" s="620">
        <v>366</v>
      </c>
      <c r="H69" s="621"/>
      <c r="I69" s="620">
        <v>252</v>
      </c>
      <c r="J69" s="628"/>
      <c r="K69" s="629"/>
    </row>
    <row r="70" spans="1:11">
      <c r="A70" s="280" t="s">
        <v>845</v>
      </c>
      <c r="B70" s="489" t="s">
        <v>846</v>
      </c>
      <c r="C70" s="614">
        <v>40178</v>
      </c>
      <c r="D70" s="613"/>
      <c r="E70" s="622">
        <v>40178</v>
      </c>
      <c r="F70" s="621"/>
      <c r="G70" s="622">
        <v>40899</v>
      </c>
      <c r="H70" s="621"/>
      <c r="I70" s="610" t="s">
        <v>828</v>
      </c>
      <c r="J70" s="628"/>
      <c r="K70" s="629"/>
    </row>
    <row r="71" spans="1:11">
      <c r="A71" s="280" t="s">
        <v>847</v>
      </c>
      <c r="B71" s="489" t="s">
        <v>59</v>
      </c>
      <c r="C71" s="612">
        <v>38.7</v>
      </c>
      <c r="D71" s="613"/>
      <c r="E71" s="620">
        <v>39.3</v>
      </c>
      <c r="F71" s="621"/>
      <c r="G71" s="620">
        <v>39.3</v>
      </c>
      <c r="H71" s="621"/>
      <c r="I71" s="620">
        <v>38.4</v>
      </c>
      <c r="J71" s="628"/>
      <c r="K71" s="629"/>
    </row>
    <row r="72" ht="17.55" spans="1:11">
      <c r="A72" s="284" t="s">
        <v>848</v>
      </c>
      <c r="B72" s="490" t="s">
        <v>59</v>
      </c>
      <c r="C72" s="615">
        <v>46.7</v>
      </c>
      <c r="D72" s="616"/>
      <c r="E72" s="623">
        <v>43.9</v>
      </c>
      <c r="F72" s="624"/>
      <c r="G72" s="623">
        <v>43.9</v>
      </c>
      <c r="H72" s="624"/>
      <c r="I72" s="623">
        <v>45.6</v>
      </c>
      <c r="J72" s="630"/>
      <c r="K72" s="631"/>
    </row>
  </sheetData>
  <mergeCells count="38">
    <mergeCell ref="A64:B64"/>
    <mergeCell ref="C64:D64"/>
    <mergeCell ref="E64:F64"/>
    <mergeCell ref="G64:H64"/>
    <mergeCell ref="I64:K64"/>
    <mergeCell ref="A67:B67"/>
    <mergeCell ref="C67:D67"/>
    <mergeCell ref="E67:F67"/>
    <mergeCell ref="G67:H67"/>
    <mergeCell ref="I67:K67"/>
    <mergeCell ref="A68:B68"/>
    <mergeCell ref="C68:D68"/>
    <mergeCell ref="E68:F68"/>
    <mergeCell ref="G68:H68"/>
    <mergeCell ref="I68:K68"/>
    <mergeCell ref="C69:D69"/>
    <mergeCell ref="E69:F69"/>
    <mergeCell ref="G69:H69"/>
    <mergeCell ref="I69:K69"/>
    <mergeCell ref="C70:D70"/>
    <mergeCell ref="E70:F70"/>
    <mergeCell ref="G70:H70"/>
    <mergeCell ref="I70:K70"/>
    <mergeCell ref="C71:D71"/>
    <mergeCell ref="E71:F71"/>
    <mergeCell ref="G71:H71"/>
    <mergeCell ref="I71:K71"/>
    <mergeCell ref="C72:D72"/>
    <mergeCell ref="E72:F72"/>
    <mergeCell ref="G72:H72"/>
    <mergeCell ref="I72:K72"/>
    <mergeCell ref="E43:E54"/>
    <mergeCell ref="H43:H54"/>
    <mergeCell ref="A65:B66"/>
    <mergeCell ref="C65:D66"/>
    <mergeCell ref="E65:F66"/>
    <mergeCell ref="G65:H66"/>
    <mergeCell ref="I65:K66"/>
  </mergeCells>
  <pageMargins left="0.7" right="0.7" top="0.787401575" bottom="0.787401575" header="0.3" footer="0.3"/>
  <headerFooter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N82"/>
  <sheetViews>
    <sheetView zoomScale="115" zoomScaleNormal="115" workbookViewId="0">
      <selection activeCell="O25" sqref="O25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813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1175</v>
      </c>
      <c r="G3" s="22"/>
      <c r="H3" s="23" t="s">
        <v>187</v>
      </c>
      <c r="I3" s="5" t="s">
        <v>188</v>
      </c>
      <c r="J3" s="35">
        <v>6759132</v>
      </c>
      <c r="K3" s="36" t="s">
        <v>189</v>
      </c>
      <c r="L3" s="1"/>
    </row>
    <row r="4" ht="21.75" customHeight="1" spans="1:14">
      <c r="A4" s="1"/>
      <c r="B4" s="6" t="s">
        <v>190</v>
      </c>
      <c r="C4" s="7"/>
      <c r="D4" s="7"/>
      <c r="E4" s="7"/>
      <c r="F4" s="184">
        <f>(191+366+366)*0.95</f>
        <v>876.85</v>
      </c>
      <c r="G4" s="184"/>
      <c r="H4" s="25" t="s">
        <v>187</v>
      </c>
      <c r="I4" s="7" t="s">
        <v>191</v>
      </c>
      <c r="J4" s="37">
        <v>5102853.51</v>
      </c>
      <c r="K4" s="38" t="s">
        <v>192</v>
      </c>
      <c r="L4" s="1"/>
      <c r="N4" t="s">
        <v>77</v>
      </c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f>J6/J9*100</f>
        <v>80.2847669752786</v>
      </c>
      <c r="H6" s="27" t="s">
        <v>195</v>
      </c>
      <c r="I6" s="1"/>
      <c r="J6" s="40">
        <v>1390353.98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f>J7/J9*100</f>
        <v>19.5598666956203</v>
      </c>
      <c r="H7" s="27" t="s">
        <v>195</v>
      </c>
      <c r="I7" s="1"/>
      <c r="J7" s="40">
        <v>338733.48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f>J8/J9*100</f>
        <v>0.155366329101086</v>
      </c>
      <c r="H8" s="27" t="s">
        <v>195</v>
      </c>
      <c r="I8" s="1"/>
      <c r="J8" s="40">
        <v>2690.6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1731778.06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1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36.6765357996996</v>
      </c>
      <c r="H11" s="27" t="s">
        <v>195</v>
      </c>
      <c r="I11" s="1"/>
      <c r="J11" s="40">
        <v>529961.18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36.53</v>
      </c>
      <c r="F13" s="15" t="s">
        <v>204</v>
      </c>
      <c r="G13" s="31"/>
      <c r="H13" s="15"/>
      <c r="I13" s="15"/>
      <c r="J13" s="45">
        <v>447236.79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140</v>
      </c>
      <c r="F15" s="15" t="s">
        <v>204</v>
      </c>
      <c r="G15" s="31"/>
      <c r="H15" s="15"/>
      <c r="I15" s="15"/>
      <c r="J15" s="45">
        <v>45220</v>
      </c>
      <c r="K15" s="44" t="s">
        <v>196</v>
      </c>
      <c r="L15" s="15"/>
    </row>
    <row r="16" ht="21.75" customHeight="1" spans="1:13">
      <c r="A16" s="1"/>
      <c r="B16" s="11"/>
      <c r="C16" s="1" t="s">
        <v>207</v>
      </c>
      <c r="D16" s="1"/>
      <c r="E16" s="1"/>
      <c r="F16" s="1"/>
      <c r="G16" s="26">
        <v>9.05881426800989</v>
      </c>
      <c r="H16" s="27" t="s">
        <v>195</v>
      </c>
      <c r="I16" s="1"/>
      <c r="J16" s="40">
        <v>130896.22</v>
      </c>
      <c r="K16" s="41" t="s">
        <v>196</v>
      </c>
      <c r="L16" s="1"/>
      <c r="M16" t="s">
        <v>77</v>
      </c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15.4388687989406</v>
      </c>
      <c r="H17" s="27" t="s">
        <v>195</v>
      </c>
      <c r="I17" s="1"/>
      <c r="J17" s="40">
        <v>223085.44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22.8014808024929</v>
      </c>
      <c r="H18" s="27" t="s">
        <v>195</v>
      </c>
      <c r="I18" s="1"/>
      <c r="J18" s="40">
        <v>329472.22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16.024300330857</v>
      </c>
      <c r="H19" s="27" t="s">
        <v>195</v>
      </c>
      <c r="I19" s="1"/>
      <c r="J19" s="40">
        <v>231544.69</v>
      </c>
      <c r="K19" s="41" t="s">
        <v>196</v>
      </c>
      <c r="L19" s="1"/>
    </row>
    <row r="20" ht="21.75" customHeight="1" spans="1:14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  <c r="N20" t="s">
        <v>77</v>
      </c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596" t="s">
        <v>648</v>
      </c>
      <c r="E22" s="15"/>
      <c r="F22" s="15"/>
      <c r="G22" s="33"/>
      <c r="H22" s="17"/>
      <c r="I22" s="17"/>
      <c r="J22" s="45">
        <v>0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34168.44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2676.35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29863.96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400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72498.01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91937.93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1444959.75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25.6213084757037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21.3778892023414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4.24341927336233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286818.31</v>
      </c>
      <c r="K37" s="43" t="s">
        <v>196</v>
      </c>
      <c r="L37" s="1"/>
    </row>
    <row r="38" ht="21.75" customHeight="1" spans="2:11">
      <c r="B38" s="1" t="s">
        <v>649</v>
      </c>
      <c r="C38" s="1"/>
      <c r="D38" s="1"/>
      <c r="E38" s="1"/>
      <c r="F38" s="1"/>
      <c r="G38" s="1"/>
      <c r="H38" s="1"/>
      <c r="I38" s="1"/>
      <c r="J38" s="1"/>
      <c r="K38" s="1"/>
    </row>
    <row r="39" ht="45" customHeight="1" spans="4:5">
      <c r="D39" t="s">
        <v>77</v>
      </c>
      <c r="E39" t="s">
        <v>77</v>
      </c>
    </row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B2:L62"/>
  <sheetViews>
    <sheetView zoomScale="115" zoomScaleNormal="115" workbookViewId="0">
      <selection activeCell="A1" sqref="A1"/>
    </sheetView>
  </sheetViews>
  <sheetFormatPr defaultColWidth="11.5" defaultRowHeight="16.8"/>
  <cols>
    <col min="2" max="2" width="30.5" customWidth="1"/>
    <col min="8" max="8" width="18.6634615384615" customWidth="1"/>
    <col min="10" max="10" width="13.3365384615385" customWidth="1"/>
  </cols>
  <sheetData>
    <row r="2" ht="27" customHeight="1" spans="2:12">
      <c r="B2" s="49" t="s">
        <v>849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95" t="s">
        <v>422</v>
      </c>
      <c r="D4" s="95"/>
      <c r="E4" s="96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880" t="s">
        <v>5</v>
      </c>
      <c r="D5" s="581"/>
      <c r="E5" s="96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82" t="s">
        <v>741</v>
      </c>
      <c r="D6" s="582"/>
      <c r="E6" s="9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213" t="s">
        <v>369</v>
      </c>
      <c r="D7" s="213"/>
      <c r="E7" s="9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213" t="s">
        <v>11</v>
      </c>
      <c r="D8" s="213"/>
      <c r="E8" s="9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6" t="s">
        <v>13</v>
      </c>
      <c r="D9" s="56"/>
      <c r="E9" s="96"/>
      <c r="F9" s="56"/>
      <c r="G9" s="56"/>
      <c r="H9" s="56"/>
      <c r="I9" s="56"/>
      <c r="J9" s="56"/>
      <c r="K9" s="56"/>
      <c r="L9" s="114"/>
    </row>
    <row r="10" spans="2:12">
      <c r="B10" s="60" t="s">
        <v>232</v>
      </c>
      <c r="C10" s="56" t="s">
        <v>850</v>
      </c>
      <c r="D10" s="56"/>
      <c r="E10" s="9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spans="2:12">
      <c r="B13" s="66" t="s">
        <v>233</v>
      </c>
      <c r="C13" s="64"/>
      <c r="D13" s="67" t="s">
        <v>22</v>
      </c>
      <c r="E13" s="67" t="s">
        <v>23</v>
      </c>
      <c r="F13" s="78"/>
      <c r="G13" s="67"/>
      <c r="H13" s="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78">
        <v>1</v>
      </c>
      <c r="E14" s="78">
        <v>1</v>
      </c>
      <c r="F14" s="78"/>
      <c r="G14" s="78"/>
      <c r="H14" s="64"/>
      <c r="I14" s="57" t="s">
        <v>248</v>
      </c>
      <c r="J14" s="64"/>
      <c r="K14" s="589">
        <f>'[76]Tabellen für Auswertung'!H16</f>
        <v>34409.17</v>
      </c>
      <c r="L14" s="114" t="s">
        <v>28</v>
      </c>
    </row>
    <row r="15" spans="2:12">
      <c r="B15" s="66" t="s">
        <v>54</v>
      </c>
      <c r="C15" s="64" t="s">
        <v>55</v>
      </c>
      <c r="D15" s="71"/>
      <c r="E15" s="71"/>
      <c r="F15" s="78"/>
      <c r="G15" s="71"/>
      <c r="H15" s="71"/>
      <c r="I15" s="57" t="s">
        <v>249</v>
      </c>
      <c r="J15" s="64"/>
      <c r="K15" s="590">
        <f>'[76]Tabellen für Auswertung'!H33</f>
        <v>94.1781603302611</v>
      </c>
      <c r="L15" s="114" t="s">
        <v>56</v>
      </c>
    </row>
    <row r="16" spans="2:12">
      <c r="B16" s="66" t="s">
        <v>234</v>
      </c>
      <c r="C16" s="64" t="s">
        <v>55</v>
      </c>
      <c r="D16" s="71">
        <v>2800</v>
      </c>
      <c r="E16" s="71">
        <v>2800</v>
      </c>
      <c r="F16" s="78"/>
      <c r="G16" s="71"/>
      <c r="H16" s="587">
        <f>SUM(D16:G16)</f>
        <v>5600</v>
      </c>
      <c r="I16" s="56" t="s">
        <v>155</v>
      </c>
      <c r="J16" s="56"/>
      <c r="K16" s="591">
        <f>'[76]Tabellen für Auswertung'!B50*100</f>
        <v>84.9075987592842</v>
      </c>
      <c r="L16" s="118" t="s">
        <v>59</v>
      </c>
    </row>
    <row r="17" spans="2:12">
      <c r="B17" s="57" t="s">
        <v>61</v>
      </c>
      <c r="C17" s="56" t="s">
        <v>62</v>
      </c>
      <c r="D17" s="70" t="s">
        <v>63</v>
      </c>
      <c r="E17" s="70" t="s">
        <v>63</v>
      </c>
      <c r="F17" s="78"/>
      <c r="G17" s="70"/>
      <c r="H17" s="587"/>
      <c r="I17" s="56" t="s">
        <v>371</v>
      </c>
      <c r="J17" s="56"/>
      <c r="K17" s="591">
        <f>'[76]Tabellen für Auswertung'!C50*100</f>
        <v>13.0168498687995</v>
      </c>
      <c r="L17" s="118" t="s">
        <v>59</v>
      </c>
    </row>
    <row r="18" spans="2:12">
      <c r="B18" s="57" t="s">
        <v>66</v>
      </c>
      <c r="C18" s="56" t="s">
        <v>55</v>
      </c>
      <c r="D18" s="71">
        <v>1400</v>
      </c>
      <c r="E18" s="71">
        <v>1400</v>
      </c>
      <c r="F18" s="78"/>
      <c r="G18" s="71"/>
      <c r="H18" s="587">
        <f>SUM(D18:G18)</f>
        <v>2800</v>
      </c>
      <c r="I18" s="56" t="s">
        <v>157</v>
      </c>
      <c r="J18" s="56"/>
      <c r="K18" s="591">
        <f>'[76]Tabellen für Auswertung'!D50*100</f>
        <v>1.78940671919724</v>
      </c>
      <c r="L18" s="118" t="s">
        <v>59</v>
      </c>
    </row>
    <row r="19" spans="2:12">
      <c r="B19" s="57"/>
      <c r="C19" s="56"/>
      <c r="D19" s="583"/>
      <c r="E19" s="583"/>
      <c r="F19" s="99"/>
      <c r="G19" s="583"/>
      <c r="H19" s="167"/>
      <c r="I19" s="56" t="s">
        <v>372</v>
      </c>
      <c r="J19" s="56"/>
      <c r="K19" s="591">
        <f>'[76]Tabellen für Auswertung'!E50*100</f>
        <v>0.128105385860804</v>
      </c>
      <c r="L19" s="118" t="s">
        <v>59</v>
      </c>
    </row>
    <row r="20" ht="17.6" spans="2:12">
      <c r="B20" s="72" t="s">
        <v>69</v>
      </c>
      <c r="C20" s="73"/>
      <c r="D20" s="584"/>
      <c r="E20" s="584"/>
      <c r="F20" s="78"/>
      <c r="G20" s="584"/>
      <c r="H20" s="101"/>
      <c r="I20" s="56" t="s">
        <v>851</v>
      </c>
      <c r="J20" s="56"/>
      <c r="K20" s="591">
        <f>'[76]Tabellen für Auswertung'!F50*100</f>
        <v>0.158039266858224</v>
      </c>
      <c r="L20" s="118" t="s">
        <v>59</v>
      </c>
    </row>
    <row r="21" spans="2:12">
      <c r="B21" s="66" t="s">
        <v>71</v>
      </c>
      <c r="C21" s="64" t="s">
        <v>59</v>
      </c>
      <c r="D21" s="299">
        <f>[76]Auswertung!L182</f>
        <v>5.99719009877346</v>
      </c>
      <c r="E21" s="299">
        <f>[76]Auswertung!P182</f>
        <v>4.92232243509807</v>
      </c>
      <c r="F21" s="78"/>
      <c r="G21" s="70"/>
      <c r="H21" s="100"/>
      <c r="I21" s="56"/>
      <c r="J21" s="56"/>
      <c r="K21" s="591"/>
      <c r="L21" s="118"/>
    </row>
    <row r="22" spans="2:12">
      <c r="B22" s="66" t="s">
        <v>73</v>
      </c>
      <c r="C22" s="64" t="s">
        <v>59</v>
      </c>
      <c r="D22" s="299">
        <f>[76]Auswertung!N182</f>
        <v>72.9590334868496</v>
      </c>
      <c r="E22" s="299">
        <f>[76]Auswertung!R182</f>
        <v>70.3901565670788</v>
      </c>
      <c r="F22" s="78"/>
      <c r="G22" s="70"/>
      <c r="H22" s="100"/>
      <c r="I22" s="56"/>
      <c r="J22" s="56"/>
      <c r="K22" s="591"/>
      <c r="L22" s="118"/>
    </row>
    <row r="23" ht="18" spans="2:12">
      <c r="B23" s="66" t="s">
        <v>74</v>
      </c>
      <c r="C23" s="378" t="s">
        <v>75</v>
      </c>
      <c r="D23" s="299"/>
      <c r="E23" s="299"/>
      <c r="F23" s="78"/>
      <c r="G23" s="70"/>
      <c r="H23" s="103" t="s">
        <v>700</v>
      </c>
      <c r="I23" s="534"/>
      <c r="J23" s="56"/>
      <c r="K23" s="56"/>
      <c r="L23" s="118"/>
    </row>
    <row r="24" ht="18" spans="2:12">
      <c r="B24" s="66" t="s">
        <v>78</v>
      </c>
      <c r="C24" s="56" t="s">
        <v>79</v>
      </c>
      <c r="D24" s="293"/>
      <c r="E24" s="293"/>
      <c r="F24" s="78"/>
      <c r="G24" s="70"/>
      <c r="H24" s="104" t="s">
        <v>811</v>
      </c>
      <c r="I24" s="55" t="s">
        <v>80</v>
      </c>
      <c r="J24" s="56"/>
      <c r="K24" s="591">
        <f>'[76]Tabellen für Auswertung'!H84</f>
        <v>11.1970544565675</v>
      </c>
      <c r="L24" s="118" t="s">
        <v>59</v>
      </c>
    </row>
    <row r="25" ht="18" spans="2:12">
      <c r="B25" s="57" t="s">
        <v>81</v>
      </c>
      <c r="C25" s="56" t="s">
        <v>59</v>
      </c>
      <c r="D25" s="70"/>
      <c r="E25" s="70"/>
      <c r="F25" s="78"/>
      <c r="G25" s="70"/>
      <c r="H25" s="104" t="s">
        <v>852</v>
      </c>
      <c r="I25" s="56" t="s">
        <v>83</v>
      </c>
      <c r="J25" s="56"/>
      <c r="K25" s="591">
        <f>'[76]Tabellen für Auswertung'!H101</f>
        <v>81.1725037758416</v>
      </c>
      <c r="L25" s="118" t="s">
        <v>59</v>
      </c>
    </row>
    <row r="26" ht="18" spans="2:12">
      <c r="B26" s="57" t="s">
        <v>84</v>
      </c>
      <c r="C26" s="56" t="s">
        <v>59</v>
      </c>
      <c r="D26" s="70"/>
      <c r="E26" s="70"/>
      <c r="F26" s="78"/>
      <c r="G26" s="70"/>
      <c r="H26" s="105" t="s">
        <v>853</v>
      </c>
      <c r="I26" s="56" t="s">
        <v>86</v>
      </c>
      <c r="J26" s="56"/>
      <c r="K26" s="591">
        <f>'[76]Tabellen für Auswertung'!H118</f>
        <v>45.23084323563</v>
      </c>
      <c r="L26" s="118" t="s">
        <v>59</v>
      </c>
    </row>
    <row r="27" ht="18" spans="2:12">
      <c r="B27" s="66" t="s">
        <v>854</v>
      </c>
      <c r="C27" s="56" t="s">
        <v>88</v>
      </c>
      <c r="D27" s="70"/>
      <c r="E27" s="70"/>
      <c r="F27" s="78"/>
      <c r="G27" s="70"/>
      <c r="H27" s="103" t="s">
        <v>298</v>
      </c>
      <c r="I27" s="130"/>
      <c r="J27" s="130"/>
      <c r="K27" s="130"/>
      <c r="L27" s="167"/>
    </row>
    <row r="28" ht="18" spans="2:12">
      <c r="B28" s="66" t="s">
        <v>90</v>
      </c>
      <c r="C28" s="56" t="s">
        <v>91</v>
      </c>
      <c r="D28" s="78"/>
      <c r="E28" s="78"/>
      <c r="F28" s="78"/>
      <c r="G28" s="78"/>
      <c r="H28" s="103" t="s">
        <v>429</v>
      </c>
      <c r="I28" s="63" t="s">
        <v>93</v>
      </c>
      <c r="J28" s="133"/>
      <c r="K28" s="64"/>
      <c r="L28" s="114"/>
    </row>
    <row r="29" spans="2:12">
      <c r="B29" s="66" t="s">
        <v>32</v>
      </c>
      <c r="C29" s="56" t="s">
        <v>62</v>
      </c>
      <c r="D29" s="299">
        <f>[76]Auswertung!N230</f>
        <v>7.86833333333333</v>
      </c>
      <c r="E29" s="75"/>
      <c r="F29" s="78"/>
      <c r="G29" s="78"/>
      <c r="H29" s="78"/>
      <c r="I29" s="66" t="s">
        <v>26</v>
      </c>
      <c r="J29" s="64"/>
      <c r="K29" s="56">
        <v>1</v>
      </c>
      <c r="L29" s="114"/>
    </row>
    <row r="30" spans="2:12">
      <c r="B30" s="66" t="s">
        <v>94</v>
      </c>
      <c r="C30" s="56" t="s">
        <v>95</v>
      </c>
      <c r="D30" s="293">
        <f>AVERAGE('[76]Finales Datenblatt'!K5:K369)</f>
        <v>43.8174180563828</v>
      </c>
      <c r="E30" s="588"/>
      <c r="F30" s="78"/>
      <c r="G30" s="78"/>
      <c r="H30" s="78"/>
      <c r="I30" s="66" t="s">
        <v>96</v>
      </c>
      <c r="J30" s="92"/>
      <c r="K30" s="589">
        <v>3400</v>
      </c>
      <c r="L30" s="114" t="s">
        <v>55</v>
      </c>
    </row>
    <row r="31" spans="2:12">
      <c r="B31" s="66" t="s">
        <v>855</v>
      </c>
      <c r="C31" s="64" t="s">
        <v>98</v>
      </c>
      <c r="D31" s="299">
        <f>[76]Auswertung!L230/1000</f>
        <v>1.92666666666667</v>
      </c>
      <c r="E31" s="75"/>
      <c r="F31" s="78"/>
      <c r="G31" s="78"/>
      <c r="H31" s="78"/>
      <c r="I31" s="66" t="s">
        <v>99</v>
      </c>
      <c r="J31" s="92"/>
      <c r="K31" s="589">
        <v>0</v>
      </c>
      <c r="L31" s="114" t="s">
        <v>55</v>
      </c>
    </row>
    <row r="32" spans="2:12">
      <c r="B32" s="66" t="s">
        <v>856</v>
      </c>
      <c r="C32" s="64" t="s">
        <v>98</v>
      </c>
      <c r="D32" s="299">
        <f>[76]Auswertung!M230/1000</f>
        <v>3.83323759729195</v>
      </c>
      <c r="E32" s="75"/>
      <c r="F32" s="78"/>
      <c r="G32" s="78"/>
      <c r="H32" s="78"/>
      <c r="I32" s="66" t="s">
        <v>66</v>
      </c>
      <c r="J32" s="92"/>
      <c r="K32" s="589">
        <v>1700</v>
      </c>
      <c r="L32" s="114" t="s">
        <v>55</v>
      </c>
    </row>
    <row r="33" spans="2:12">
      <c r="B33" s="66" t="s">
        <v>101</v>
      </c>
      <c r="C33" s="64" t="s">
        <v>102</v>
      </c>
      <c r="D33" s="293">
        <v>118</v>
      </c>
      <c r="E33" s="75"/>
      <c r="F33" s="78"/>
      <c r="G33" s="78"/>
      <c r="H33" s="78" t="s">
        <v>77</v>
      </c>
      <c r="I33" s="57" t="s">
        <v>103</v>
      </c>
      <c r="J33" s="64"/>
      <c r="K33" s="592">
        <v>3.5</v>
      </c>
      <c r="L33" s="114" t="s">
        <v>59</v>
      </c>
    </row>
    <row r="34" spans="2:12">
      <c r="B34" s="66" t="s">
        <v>104</v>
      </c>
      <c r="C34" s="64" t="s">
        <v>62</v>
      </c>
      <c r="D34" s="301">
        <f>[76]Auswertung!O208</f>
        <v>0.116871559842547</v>
      </c>
      <c r="E34" s="80"/>
      <c r="F34" s="78"/>
      <c r="G34" s="78"/>
      <c r="H34" s="78"/>
      <c r="I34" s="66" t="s">
        <v>105</v>
      </c>
      <c r="J34" s="64"/>
      <c r="K34" s="592">
        <f>AVERAGE('[76]Labordaten BGA 42'!H16:H27)</f>
        <v>4.85792691062803</v>
      </c>
      <c r="L34" s="114" t="s">
        <v>59</v>
      </c>
    </row>
    <row r="35" spans="2:12"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592">
        <f>AVERAGE('[76]Labordaten BGA 42'!I16:I27)</f>
        <v>67.9292844593746</v>
      </c>
      <c r="L35" s="114" t="s">
        <v>59</v>
      </c>
    </row>
    <row r="36" spans="2:12">
      <c r="B36" s="88" t="s">
        <v>142</v>
      </c>
      <c r="C36" s="64"/>
      <c r="D36" s="64"/>
      <c r="E36" s="80"/>
      <c r="F36" s="78"/>
      <c r="G36" s="78"/>
      <c r="H36" s="78"/>
      <c r="I36" s="129"/>
      <c r="J36" s="70"/>
      <c r="K36" s="70"/>
      <c r="L36" s="167"/>
    </row>
    <row r="37" ht="17.6" spans="2:12"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239</v>
      </c>
      <c r="L38" s="114"/>
    </row>
    <row r="39" spans="2:12">
      <c r="B39" s="85"/>
      <c r="C39" s="64"/>
      <c r="D39" s="78"/>
      <c r="E39" s="64"/>
      <c r="F39" s="78"/>
      <c r="G39" s="78"/>
      <c r="H39" s="102"/>
      <c r="I39" s="125" t="s">
        <v>112</v>
      </c>
      <c r="J39" s="64"/>
      <c r="K39" s="64"/>
      <c r="L39" s="114"/>
    </row>
    <row r="40" spans="2:12"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456" t="s">
        <v>857</v>
      </c>
      <c r="L40" s="173">
        <f>'[76]Finales Datenblatt'!AE370</f>
        <v>52.2042595045968</v>
      </c>
    </row>
    <row r="41" spans="2:12">
      <c r="B41" s="86"/>
      <c r="C41" s="77"/>
      <c r="D41" s="67" t="s">
        <v>419</v>
      </c>
      <c r="E41" s="67"/>
      <c r="F41" s="67"/>
      <c r="G41" s="67"/>
      <c r="H41" s="67"/>
      <c r="I41" s="66"/>
      <c r="J41" s="64" t="s">
        <v>113</v>
      </c>
      <c r="K41" s="78" t="s">
        <v>858</v>
      </c>
      <c r="L41" s="891" t="s">
        <v>117</v>
      </c>
    </row>
    <row r="42" spans="2:12">
      <c r="B42" s="66" t="s">
        <v>118</v>
      </c>
      <c r="C42" s="64"/>
      <c r="D42" s="70" t="s">
        <v>119</v>
      </c>
      <c r="E42" s="78"/>
      <c r="F42" s="78"/>
      <c r="G42" s="78"/>
      <c r="H42" s="102"/>
      <c r="I42" s="66"/>
      <c r="J42" s="64" t="s">
        <v>113</v>
      </c>
      <c r="K42" s="78" t="s">
        <v>859</v>
      </c>
      <c r="L42" s="173">
        <f>'[76]Finales Datenblatt'!AG370</f>
        <v>0.41952206029949</v>
      </c>
    </row>
    <row r="43" spans="2:12">
      <c r="B43" s="66" t="s">
        <v>121</v>
      </c>
      <c r="C43" s="64" t="s">
        <v>122</v>
      </c>
      <c r="D43" s="70">
        <v>537</v>
      </c>
      <c r="E43" s="78"/>
      <c r="F43" s="77"/>
      <c r="G43" s="78"/>
      <c r="H43" s="102"/>
      <c r="I43" s="66"/>
      <c r="J43" s="64" t="s">
        <v>123</v>
      </c>
      <c r="K43" s="456" t="s">
        <v>860</v>
      </c>
      <c r="L43" s="188">
        <f>'[76]Finales Datenblatt'!AI370</f>
        <v>200.272090509454</v>
      </c>
    </row>
    <row r="44" spans="2:12">
      <c r="B44" s="66" t="s">
        <v>125</v>
      </c>
      <c r="C44" s="64" t="s">
        <v>122</v>
      </c>
      <c r="D44" s="293">
        <f>D43/D45*D46</f>
        <v>473.442028985507</v>
      </c>
      <c r="E44" s="77"/>
      <c r="F44" s="77"/>
      <c r="G44" s="78"/>
      <c r="H44" s="102"/>
      <c r="I44" s="148" t="s">
        <v>126</v>
      </c>
      <c r="J44" s="64"/>
      <c r="K44" s="64"/>
      <c r="L44" s="114"/>
    </row>
    <row r="45" spans="2:12">
      <c r="B45" s="66" t="s">
        <v>127</v>
      </c>
      <c r="C45" s="64" t="s">
        <v>59</v>
      </c>
      <c r="D45" s="70">
        <v>41.4</v>
      </c>
      <c r="E45" s="78"/>
      <c r="F45" s="78"/>
      <c r="G45" s="78"/>
      <c r="H45" s="102"/>
      <c r="I45" s="64"/>
      <c r="J45" s="64"/>
      <c r="K45" s="78" t="s">
        <v>128</v>
      </c>
      <c r="L45" s="102" t="s">
        <v>129</v>
      </c>
    </row>
    <row r="46" spans="2:12">
      <c r="B46" s="66" t="s">
        <v>130</v>
      </c>
      <c r="C46" s="64" t="s">
        <v>59</v>
      </c>
      <c r="D46" s="70">
        <v>36.5</v>
      </c>
      <c r="E46" s="78"/>
      <c r="F46" s="78"/>
      <c r="G46" s="78"/>
      <c r="H46" s="102"/>
      <c r="I46" s="66"/>
      <c r="J46" s="64" t="s">
        <v>131</v>
      </c>
      <c r="K46" s="293">
        <f>[76]Auswertung!P156/'[76]Tabellen für Auswertung'!H16</f>
        <v>66.1168901813961</v>
      </c>
      <c r="L46" s="188">
        <f>K46*L40/100</f>
        <v>34.5158329266653</v>
      </c>
    </row>
    <row r="47" spans="2:12">
      <c r="B47" s="57" t="s">
        <v>132</v>
      </c>
      <c r="C47" s="56" t="s">
        <v>62</v>
      </c>
      <c r="D47" s="70" t="s">
        <v>133</v>
      </c>
      <c r="E47" s="78"/>
      <c r="F47" s="78"/>
      <c r="G47" s="78"/>
      <c r="H47" s="102"/>
      <c r="I47" s="66"/>
      <c r="J47" s="64" t="s">
        <v>134</v>
      </c>
      <c r="K47" s="293">
        <f>K46/(K24/100*K25/100)</f>
        <v>727.444200484924</v>
      </c>
      <c r="L47" s="188">
        <f>L46/(K24/100*K25/100)</f>
        <v>379.756858172289</v>
      </c>
    </row>
    <row r="48" spans="2:12">
      <c r="B48" s="66" t="s">
        <v>135</v>
      </c>
      <c r="C48" s="64" t="s">
        <v>240</v>
      </c>
      <c r="D48" s="71">
        <f>'[76]Tabellen für Auswertung'!N33</f>
        <v>8457</v>
      </c>
      <c r="E48" s="78"/>
      <c r="F48" s="78"/>
      <c r="G48" s="78" t="s">
        <v>77</v>
      </c>
      <c r="H48" s="102"/>
      <c r="I48" s="148" t="s">
        <v>137</v>
      </c>
      <c r="J48" s="64"/>
      <c r="K48" s="56"/>
      <c r="L48" s="118"/>
    </row>
    <row r="49" spans="2:12">
      <c r="B49" s="57" t="s">
        <v>138</v>
      </c>
      <c r="C49" s="64" t="s">
        <v>240</v>
      </c>
      <c r="D49" s="71" t="e">
        <f>'[76]Tabellen für Auswertung'!P50/'[77]BGA 42_Datenblatt'!D43</f>
        <v>#REF!</v>
      </c>
      <c r="E49" s="77"/>
      <c r="F49" s="78"/>
      <c r="G49" s="69"/>
      <c r="H49" s="98"/>
      <c r="I49" s="66"/>
      <c r="J49" s="64" t="s">
        <v>139</v>
      </c>
      <c r="K49" s="71">
        <f>'[76]Tabellen für Auswertung'!P50/365</f>
        <v>12290.7945205479</v>
      </c>
      <c r="L49" s="587"/>
    </row>
    <row r="50" spans="2:12">
      <c r="B50" s="57" t="s">
        <v>140</v>
      </c>
      <c r="C50" s="64" t="s">
        <v>59</v>
      </c>
      <c r="D50" s="293" t="e">
        <f>D49/24/365*100</f>
        <v>#REF!</v>
      </c>
      <c r="E50" s="77"/>
      <c r="F50" s="78"/>
      <c r="G50" s="78"/>
      <c r="H50" s="102"/>
      <c r="I50" s="66"/>
      <c r="J50" s="64" t="s">
        <v>141</v>
      </c>
      <c r="K50" s="71">
        <f>'[76]Tabellen für Auswertung'!P50/'[76]Tabellen für Auswertung'!H16</f>
        <v>130.376292133754</v>
      </c>
      <c r="L50" s="118"/>
    </row>
    <row r="51" spans="2:12">
      <c r="B51" s="87"/>
      <c r="C51" s="64"/>
      <c r="D51" s="78"/>
      <c r="E51" s="78"/>
      <c r="F51" s="78"/>
      <c r="G51" s="78"/>
      <c r="H51" s="102"/>
      <c r="I51" s="65"/>
      <c r="J51" s="64"/>
      <c r="K51" s="70"/>
      <c r="L51" s="118"/>
    </row>
    <row r="52" spans="2:12"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</row>
    <row r="53" ht="17.6" spans="2:12"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</row>
    <row r="54" spans="2:12"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</row>
    <row r="55" spans="2:12">
      <c r="B55" s="66" t="s">
        <v>146</v>
      </c>
      <c r="C55" s="585">
        <f>'[76]Tabellen für Auswertung'!P84</f>
        <v>387291</v>
      </c>
      <c r="D55" s="586">
        <v>9</v>
      </c>
      <c r="E55" s="111" t="s">
        <v>147</v>
      </c>
      <c r="F55" s="64"/>
      <c r="G55" s="64" t="s">
        <v>148</v>
      </c>
      <c r="H55" s="64"/>
      <c r="I55" s="71">
        <f>'[76]Tabellen für Auswertung'!N135</f>
        <v>1271500</v>
      </c>
      <c r="J55" s="586">
        <v>32</v>
      </c>
      <c r="K55" s="111" t="s">
        <v>149</v>
      </c>
      <c r="L55" s="114"/>
    </row>
    <row r="56" spans="2:12">
      <c r="B56" s="66" t="s">
        <v>430</v>
      </c>
      <c r="C56" s="585">
        <f>'[76]Tabellen für Auswertung'!N84</f>
        <v>186672</v>
      </c>
      <c r="D56" s="586">
        <v>4</v>
      </c>
      <c r="E56" s="111" t="s">
        <v>147</v>
      </c>
      <c r="F56" s="64"/>
      <c r="G56" s="64" t="s">
        <v>274</v>
      </c>
      <c r="H56" s="64"/>
      <c r="I56" s="69">
        <v>1535000</v>
      </c>
      <c r="J56" s="593">
        <v>39</v>
      </c>
      <c r="K56" s="111" t="s">
        <v>149</v>
      </c>
      <c r="L56" s="114"/>
    </row>
    <row r="57" spans="2:12">
      <c r="B57" s="66" t="s">
        <v>431</v>
      </c>
      <c r="C57" s="585">
        <f>'[76]Tabellen für Auswertung'!O84</f>
        <v>200619</v>
      </c>
      <c r="D57" s="586">
        <v>5</v>
      </c>
      <c r="E57" s="111" t="s">
        <v>147</v>
      </c>
      <c r="F57" s="64"/>
      <c r="G57" s="64"/>
      <c r="H57" s="64"/>
      <c r="I57" s="69"/>
      <c r="J57" s="594"/>
      <c r="K57" s="111"/>
      <c r="L57" s="114"/>
    </row>
    <row r="58" spans="2:12">
      <c r="B58" s="81"/>
      <c r="C58" s="94"/>
      <c r="D58" s="94"/>
      <c r="E58" s="94"/>
      <c r="F58" s="94"/>
      <c r="G58" s="94"/>
      <c r="H58" s="94"/>
      <c r="I58" s="89"/>
      <c r="J58" s="595"/>
      <c r="K58" s="153"/>
      <c r="L58" s="115" t="s">
        <v>77</v>
      </c>
    </row>
    <row r="60" spans="2:2">
      <c r="B60" s="156" t="s">
        <v>77</v>
      </c>
    </row>
    <row r="62" spans="3:3">
      <c r="C62" t="s">
        <v>77</v>
      </c>
    </row>
  </sheetData>
  <mergeCells count="1">
    <mergeCell ref="B2:L2"/>
  </mergeCells>
  <pageMargins left="0.7" right="0.7" top="0.787401575" bottom="0.787401575" header="0.3" footer="0.3"/>
  <headerFooter/>
  <ignoredErrors>
    <ignoredError sqref="C5" numberStoredAsText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A2:Y67"/>
  <sheetViews>
    <sheetView zoomScale="85" zoomScaleNormal="85" workbookViewId="0">
      <selection activeCell="A1" sqref="A1"/>
    </sheetView>
  </sheetViews>
  <sheetFormatPr defaultColWidth="11.5" defaultRowHeight="16.8"/>
  <cols>
    <col min="2" max="2" width="10.6634615384615" customWidth="1"/>
    <col min="3" max="3" width="12.5" customWidth="1"/>
    <col min="4" max="4" width="13.5" customWidth="1"/>
    <col min="5" max="5" width="12.5" customWidth="1"/>
    <col min="6" max="6" width="13.5" customWidth="1"/>
    <col min="7" max="7" width="12.5" customWidth="1"/>
    <col min="8" max="8" width="13.5" customWidth="1"/>
    <col min="9" max="9" width="10" customWidth="1"/>
    <col min="10" max="10" width="17.5" customWidth="1"/>
  </cols>
  <sheetData>
    <row r="2" spans="1:11">
      <c r="A2" s="544" t="s">
        <v>154</v>
      </c>
      <c r="B2" s="544" t="s">
        <v>382</v>
      </c>
      <c r="C2" s="544" t="s">
        <v>372</v>
      </c>
      <c r="D2" s="544" t="s">
        <v>861</v>
      </c>
      <c r="E2" s="544" t="s">
        <v>157</v>
      </c>
      <c r="F2" s="544" t="s">
        <v>58</v>
      </c>
      <c r="G2" s="544" t="s">
        <v>155</v>
      </c>
      <c r="H2" s="544"/>
      <c r="I2" s="544"/>
      <c r="J2" s="544" t="s">
        <v>385</v>
      </c>
      <c r="K2" s="544" t="s">
        <v>386</v>
      </c>
    </row>
    <row r="3" spans="1:25">
      <c r="A3" s="545">
        <f>[19]Auswertung!K3</f>
        <v>0</v>
      </c>
      <c r="B3" s="545" t="str">
        <f>[19]Auswertung!L3</f>
        <v>[%]</v>
      </c>
      <c r="C3" s="545" t="str">
        <f>[19]Auswertung!M3</f>
        <v>[%]</v>
      </c>
      <c r="D3" s="545" t="str">
        <f>[19]Auswertung!N3</f>
        <v>[%]</v>
      </c>
      <c r="E3" s="545" t="str">
        <f>[19]Auswertung!O3</f>
        <v>[%]</v>
      </c>
      <c r="F3" s="545" t="str">
        <f>[19]Auswertung!P3</f>
        <v>[%]</v>
      </c>
      <c r="G3" s="545" t="str">
        <f>[19]Auswertung!Q3</f>
        <v>[%]</v>
      </c>
      <c r="H3" s="545" t="str">
        <f>[19]Auswertung!R3</f>
        <v>[%]</v>
      </c>
      <c r="I3" s="545" t="str">
        <f>[19]Auswertung!U3</f>
        <v>[%]</v>
      </c>
      <c r="J3" s="545" t="str">
        <f>[19]Auswertung!S3</f>
        <v>[t/d]</v>
      </c>
      <c r="K3" s="545"/>
      <c r="X3" s="578" t="s">
        <v>387</v>
      </c>
      <c r="Y3" s="580"/>
    </row>
    <row r="4" spans="1:11">
      <c r="A4" s="546">
        <f>[76]Auswertung!K4</f>
        <v>42948</v>
      </c>
      <c r="B4" s="547"/>
      <c r="C4" s="547">
        <f>[76]Auswertung!O4</f>
        <v>0</v>
      </c>
      <c r="D4" s="547">
        <f>[76]Auswertung!P4</f>
        <v>0.615653652898303</v>
      </c>
      <c r="E4" s="547">
        <f>[76]Auswertung!N4</f>
        <v>3.17888092372003</v>
      </c>
      <c r="F4" s="547">
        <f>[76]Auswertung!M4</f>
        <v>8.67844074333591</v>
      </c>
      <c r="G4" s="547">
        <f>[76]Auswertung!L4</f>
        <v>87.5270246800458</v>
      </c>
      <c r="H4" s="547"/>
      <c r="I4" s="573"/>
      <c r="J4" s="547">
        <f>[76]Auswertung!U4</f>
        <v>107.727096774194</v>
      </c>
      <c r="K4" s="573">
        <f>SUM(B4:G4)</f>
        <v>100</v>
      </c>
    </row>
    <row r="5" spans="1:11">
      <c r="A5" s="546">
        <f>[76]Auswertung!K5</f>
        <v>42979</v>
      </c>
      <c r="B5" s="547"/>
      <c r="C5" s="547">
        <f>[76]Auswertung!O5</f>
        <v>0.990549621181699</v>
      </c>
      <c r="D5" s="547">
        <f>[76]Auswertung!P5</f>
        <v>1.13176987122855</v>
      </c>
      <c r="E5" s="547">
        <f>[76]Auswertung!N5</f>
        <v>1.25826573501459</v>
      </c>
      <c r="F5" s="547">
        <f>[76]Auswertung!M5</f>
        <v>10.1136454903221</v>
      </c>
      <c r="G5" s="547">
        <f>[76]Auswertung!L5</f>
        <v>86.5057692822531</v>
      </c>
      <c r="H5" s="547"/>
      <c r="I5" s="573"/>
      <c r="J5" s="547">
        <f>[76]Auswertung!U5</f>
        <v>99.608</v>
      </c>
      <c r="K5" s="573">
        <f t="shared" ref="K5:K15" si="0">SUM(B5:I5)</f>
        <v>100</v>
      </c>
    </row>
    <row r="6" spans="1:11">
      <c r="A6" s="546">
        <f>[76]Auswertung!K6</f>
        <v>43009</v>
      </c>
      <c r="B6" s="547"/>
      <c r="C6" s="547">
        <f>[76]Auswertung!O6</f>
        <v>0.503366451530257</v>
      </c>
      <c r="D6" s="547">
        <f>[76]Auswertung!P6</f>
        <v>0</v>
      </c>
      <c r="E6" s="547">
        <f>[76]Auswertung!N6</f>
        <v>0</v>
      </c>
      <c r="F6" s="547">
        <f>[76]Auswertung!M6</f>
        <v>15.2882488800473</v>
      </c>
      <c r="G6" s="547">
        <f>[76]Auswertung!L6</f>
        <v>84.2083846684224</v>
      </c>
      <c r="H6" s="547"/>
      <c r="I6" s="573"/>
      <c r="J6" s="547">
        <f>[76]Auswertung!U6</f>
        <v>85.6170967741936</v>
      </c>
      <c r="K6" s="573">
        <f t="shared" si="0"/>
        <v>100</v>
      </c>
    </row>
    <row r="7" spans="1:11">
      <c r="A7" s="546">
        <f>[76]Auswertung!K7</f>
        <v>43040</v>
      </c>
      <c r="B7" s="547"/>
      <c r="C7" s="547">
        <f>[76]Auswertung!O7</f>
        <v>0.0388735014612272</v>
      </c>
      <c r="D7" s="547">
        <f>[76]Auswertung!P7</f>
        <v>0</v>
      </c>
      <c r="E7" s="547">
        <f>[76]Auswertung!N7</f>
        <v>1.52161991433946</v>
      </c>
      <c r="F7" s="547">
        <f>[76]Auswertung!M7</f>
        <v>13.5078475881075</v>
      </c>
      <c r="G7" s="547">
        <f>[76]Auswertung!L7</f>
        <v>84.9316589960918</v>
      </c>
      <c r="H7" s="547"/>
      <c r="I7" s="573"/>
      <c r="J7" s="547">
        <f>[76]Auswertung!U7</f>
        <v>96.038</v>
      </c>
      <c r="K7" s="573">
        <f t="shared" si="0"/>
        <v>100</v>
      </c>
    </row>
    <row r="8" spans="1:11">
      <c r="A8" s="546">
        <f>[76]Auswertung!K8</f>
        <v>43070</v>
      </c>
      <c r="B8" s="547"/>
      <c r="C8" s="547">
        <f>[76]Auswertung!O8</f>
        <v>0</v>
      </c>
      <c r="D8" s="547">
        <f>[76]Auswertung!P8</f>
        <v>0</v>
      </c>
      <c r="E8" s="547">
        <f>[76]Auswertung!N8</f>
        <v>2.11592596283195</v>
      </c>
      <c r="F8" s="547">
        <f>[76]Auswertung!M8</f>
        <v>10.4133451248069</v>
      </c>
      <c r="G8" s="547">
        <f>[76]Auswertung!L8</f>
        <v>87.4707289123611</v>
      </c>
      <c r="H8" s="547"/>
      <c r="I8" s="573"/>
      <c r="J8" s="547">
        <f>[76]Auswertung!U8</f>
        <v>103.592258064516</v>
      </c>
      <c r="K8" s="573">
        <f t="shared" si="0"/>
        <v>100</v>
      </c>
    </row>
    <row r="9" spans="1:11">
      <c r="A9" s="546">
        <f>[76]Auswertung!K9</f>
        <v>43101</v>
      </c>
      <c r="B9" s="547"/>
      <c r="C9" s="547">
        <f>[76]Auswertung!O9</f>
        <v>0</v>
      </c>
      <c r="D9" s="547">
        <f>[76]Auswertung!P9</f>
        <v>0</v>
      </c>
      <c r="E9" s="547">
        <f>[76]Auswertung!N9</f>
        <v>2.4072655651603</v>
      </c>
      <c r="F9" s="547">
        <f>[76]Auswertung!M9</f>
        <v>11.3158060526482</v>
      </c>
      <c r="G9" s="547">
        <f>[76]Auswertung!L9</f>
        <v>86.2769283821915</v>
      </c>
      <c r="H9" s="547"/>
      <c r="I9" s="573"/>
      <c r="J9" s="547">
        <f>[76]Auswertung!U9</f>
        <v>97.2861290322581</v>
      </c>
      <c r="K9" s="573">
        <f t="shared" si="0"/>
        <v>100</v>
      </c>
    </row>
    <row r="10" spans="1:11">
      <c r="A10" s="546">
        <f>[76]Auswertung!K10</f>
        <v>43132</v>
      </c>
      <c r="B10" s="547"/>
      <c r="C10" s="547">
        <f>[76]Auswertung!O10</f>
        <v>0</v>
      </c>
      <c r="D10" s="547">
        <f>[76]Auswertung!P10</f>
        <v>0</v>
      </c>
      <c r="E10" s="547">
        <f>[76]Auswertung!N10</f>
        <v>1.94442065075072</v>
      </c>
      <c r="F10" s="547">
        <f>[76]Auswertung!M10</f>
        <v>15.2535252056795</v>
      </c>
      <c r="G10" s="547">
        <f>[76]Auswertung!L10</f>
        <v>82.8020541435698</v>
      </c>
      <c r="H10" s="547"/>
      <c r="I10" s="573"/>
      <c r="J10" s="547">
        <f>[76]Auswertung!U10</f>
        <v>87.5582142857143</v>
      </c>
      <c r="K10" s="573">
        <f t="shared" si="0"/>
        <v>100</v>
      </c>
    </row>
    <row r="11" spans="1:11">
      <c r="A11" s="546">
        <f>[76]Auswertung!K11</f>
        <v>43160</v>
      </c>
      <c r="B11" s="547"/>
      <c r="C11" s="547">
        <f>[76]Auswertung!O11</f>
        <v>0</v>
      </c>
      <c r="D11" s="547">
        <f>[76]Auswertung!P11</f>
        <v>0</v>
      </c>
      <c r="E11" s="547">
        <f>[76]Auswertung!N11</f>
        <v>1.63577543214481</v>
      </c>
      <c r="F11" s="547">
        <f>[76]Auswertung!M11</f>
        <v>9.02972323651092</v>
      </c>
      <c r="G11" s="547">
        <f>[76]Auswertung!L11</f>
        <v>89.3345013313443</v>
      </c>
      <c r="H11" s="547"/>
      <c r="I11" s="573"/>
      <c r="J11" s="547">
        <f>[76]Auswertung!U11</f>
        <v>111.577741935484</v>
      </c>
      <c r="K11" s="573">
        <f t="shared" si="0"/>
        <v>100</v>
      </c>
    </row>
    <row r="12" spans="1:11">
      <c r="A12" s="546">
        <f>[76]Auswertung!K12</f>
        <v>43191</v>
      </c>
      <c r="B12" s="547"/>
      <c r="C12" s="547">
        <f>[76]Auswertung!O12</f>
        <v>0</v>
      </c>
      <c r="D12" s="547">
        <f>[76]Auswertung!P12</f>
        <v>0</v>
      </c>
      <c r="E12" s="547">
        <f>[76]Auswertung!N12</f>
        <v>2.68983860968342</v>
      </c>
      <c r="F12" s="547">
        <f>[76]Auswertung!M12</f>
        <v>25.764454132752</v>
      </c>
      <c r="G12" s="547">
        <f>[76]Auswertung!L12</f>
        <v>71.5457072575645</v>
      </c>
      <c r="H12" s="547"/>
      <c r="I12" s="573"/>
      <c r="J12" s="547">
        <f>[76]Auswertung!U12</f>
        <v>66.6706666666667</v>
      </c>
      <c r="K12" s="573">
        <f t="shared" si="0"/>
        <v>100</v>
      </c>
    </row>
    <row r="13" spans="1:11">
      <c r="A13" s="546">
        <f>[76]Auswertung!K13</f>
        <v>43221</v>
      </c>
      <c r="B13" s="547"/>
      <c r="C13" s="547">
        <f>[76]Auswertung!O13</f>
        <v>0</v>
      </c>
      <c r="D13" s="547">
        <f>[76]Auswertung!P13</f>
        <v>0</v>
      </c>
      <c r="E13" s="547">
        <f>[76]Auswertung!N13</f>
        <v>2.22729868646488</v>
      </c>
      <c r="F13" s="547">
        <f>[76]Auswertung!M13</f>
        <v>16.6054290089607</v>
      </c>
      <c r="G13" s="547">
        <f>[76]Auswertung!L13</f>
        <v>81.1672723045744</v>
      </c>
      <c r="H13" s="547"/>
      <c r="I13" s="573"/>
      <c r="J13" s="547">
        <f>[76]Auswertung!U13</f>
        <v>63.8267741935484</v>
      </c>
      <c r="K13" s="573">
        <f t="shared" si="0"/>
        <v>100</v>
      </c>
    </row>
    <row r="14" spans="1:11">
      <c r="A14" s="546">
        <f>[76]Auswertung!K14</f>
        <v>43252</v>
      </c>
      <c r="B14" s="547"/>
      <c r="C14" s="547">
        <f>[76]Auswertung!O14</f>
        <v>0</v>
      </c>
      <c r="D14" s="547">
        <f>[76]Auswertung!P14</f>
        <v>0</v>
      </c>
      <c r="E14" s="547">
        <f>[76]Auswertung!N14</f>
        <v>1.66576214528056</v>
      </c>
      <c r="F14" s="547">
        <f>[76]Auswertung!M14</f>
        <v>10.6678031450708</v>
      </c>
      <c r="G14" s="547">
        <f>[76]Auswertung!L14</f>
        <v>87.6664347096486</v>
      </c>
      <c r="H14" s="547"/>
      <c r="I14" s="573"/>
      <c r="J14" s="547">
        <f>[76]Auswertung!U14</f>
        <v>100.114333333333</v>
      </c>
      <c r="K14" s="573">
        <f t="shared" si="0"/>
        <v>100</v>
      </c>
    </row>
    <row r="15" spans="1:11">
      <c r="A15" s="548">
        <f>[76]Auswertung!K15</f>
        <v>43282</v>
      </c>
      <c r="B15" s="549"/>
      <c r="C15" s="549">
        <f>[76]Auswertung!O15</f>
        <v>0</v>
      </c>
      <c r="D15" s="549">
        <f>[76]Auswertung!P15</f>
        <v>0</v>
      </c>
      <c r="E15" s="549">
        <f>[76]Auswertung!N15</f>
        <v>1.03380742928693</v>
      </c>
      <c r="F15" s="549">
        <f>[76]Auswertung!M15</f>
        <v>16.5126073720802</v>
      </c>
      <c r="G15" s="549">
        <f>[76]Auswertung!L15</f>
        <v>82.4535851986329</v>
      </c>
      <c r="H15" s="549"/>
      <c r="I15" s="575"/>
      <c r="J15" s="549">
        <f>[76]Auswertung!U15</f>
        <v>110.521612903226</v>
      </c>
      <c r="K15" s="575">
        <f t="shared" si="0"/>
        <v>100</v>
      </c>
    </row>
    <row r="16" spans="1:11">
      <c r="A16" s="550" t="str">
        <f>[76]Auswertung!K16</f>
        <v>Jahresmenge</v>
      </c>
      <c r="B16" s="547"/>
      <c r="C16" s="547">
        <f>[76]Auswertung!O16</f>
        <v>0.128105385860804</v>
      </c>
      <c r="D16" s="547">
        <f>[76]Auswertung!P16</f>
        <v>0.158039266858224</v>
      </c>
      <c r="E16" s="547">
        <f>[76]Auswertung!N16</f>
        <v>1.78940671919724</v>
      </c>
      <c r="F16" s="547">
        <f>[76]Auswertung!M16</f>
        <v>13.0168498687995</v>
      </c>
      <c r="G16" s="547">
        <f>[76]Auswertung!L16</f>
        <v>84.9075987592842</v>
      </c>
      <c r="H16" s="547"/>
      <c r="I16" s="573"/>
      <c r="J16" s="547">
        <f>[76]Auswertung!U16</f>
        <v>1130.13792396313</v>
      </c>
      <c r="K16" s="573">
        <f>AVERAGE(K4:K15)</f>
        <v>100</v>
      </c>
    </row>
    <row r="21" spans="3:5">
      <c r="C21" s="544"/>
      <c r="D21" s="544"/>
      <c r="E21" s="544"/>
    </row>
    <row r="22" spans="3:5">
      <c r="C22" s="551" t="s">
        <v>104</v>
      </c>
      <c r="D22" s="552" t="s">
        <v>22</v>
      </c>
      <c r="E22" s="552" t="s">
        <v>23</v>
      </c>
    </row>
    <row r="23" ht="34" spans="2:5">
      <c r="B23" s="219"/>
      <c r="C23" s="552"/>
      <c r="D23" s="553" t="s">
        <v>388</v>
      </c>
      <c r="E23" s="569" t="s">
        <v>388</v>
      </c>
    </row>
    <row r="24" spans="2:5">
      <c r="B24" s="219"/>
      <c r="C24" s="554"/>
      <c r="D24" s="555" t="s">
        <v>389</v>
      </c>
      <c r="E24" s="570" t="s">
        <v>389</v>
      </c>
    </row>
    <row r="25" spans="3:5">
      <c r="C25" s="556">
        <f t="shared" ref="C25:C36" si="1">A4</f>
        <v>42948</v>
      </c>
      <c r="D25" s="557">
        <f>[76]Auswertung!O196</f>
        <v>0.130108754485862</v>
      </c>
      <c r="E25" s="557">
        <v>0.113108626919875</v>
      </c>
    </row>
    <row r="26" spans="3:5">
      <c r="C26" s="558">
        <f t="shared" si="1"/>
        <v>42979</v>
      </c>
      <c r="D26" s="559">
        <f>[76]Auswertung!O197</f>
        <v>0.104650748353695</v>
      </c>
      <c r="E26" s="559">
        <v>0.104504268609935</v>
      </c>
    </row>
    <row r="27" spans="3:5">
      <c r="C27" s="558">
        <f t="shared" si="1"/>
        <v>43009</v>
      </c>
      <c r="D27" s="559">
        <f>[76]Auswertung!O198</f>
        <v>0.107879652065079</v>
      </c>
      <c r="E27" s="559">
        <v>0.102196125948747</v>
      </c>
    </row>
    <row r="28" spans="3:5">
      <c r="C28" s="558">
        <f t="shared" si="1"/>
        <v>43040</v>
      </c>
      <c r="D28" s="559">
        <f>[76]Auswertung!O199</f>
        <v>0.0998346558567252</v>
      </c>
      <c r="E28" s="559">
        <v>0.100937652874207</v>
      </c>
    </row>
    <row r="29" spans="3:5">
      <c r="C29" s="558">
        <f t="shared" si="1"/>
        <v>43070</v>
      </c>
      <c r="D29" s="559">
        <f>[76]Auswertung!O200</f>
        <v>0.117848677400744</v>
      </c>
      <c r="E29" s="559">
        <v>0.122155846293548</v>
      </c>
    </row>
    <row r="30" spans="3:5">
      <c r="C30" s="558">
        <f t="shared" si="1"/>
        <v>43101</v>
      </c>
      <c r="D30" s="559">
        <f>[76]Auswertung!O201</f>
        <v>0.116393327630723</v>
      </c>
      <c r="E30" s="559">
        <v>0.111949037715137</v>
      </c>
    </row>
    <row r="31" spans="3:5">
      <c r="C31" s="558">
        <f t="shared" si="1"/>
        <v>43132</v>
      </c>
      <c r="D31" s="559">
        <f>[76]Auswertung!O202</f>
        <v>0.105966842038407</v>
      </c>
      <c r="E31" s="559"/>
    </row>
    <row r="32" spans="3:5">
      <c r="C32" s="558">
        <f t="shared" si="1"/>
        <v>43160</v>
      </c>
      <c r="D32" s="559">
        <f>[76]Auswertung!O203</f>
        <v>0.0899392139483671</v>
      </c>
      <c r="E32" s="559"/>
    </row>
    <row r="33" spans="3:5">
      <c r="C33" s="558">
        <f t="shared" si="1"/>
        <v>43191</v>
      </c>
      <c r="D33" s="559">
        <f>[76]Auswertung!O204</f>
        <v>0.122715677347589</v>
      </c>
      <c r="E33" s="559"/>
    </row>
    <row r="34" spans="3:5">
      <c r="C34" s="558">
        <f t="shared" si="1"/>
        <v>43221</v>
      </c>
      <c r="D34" s="559">
        <f>[76]Auswertung!O205</f>
        <v>0.13550024213675</v>
      </c>
      <c r="E34" s="559"/>
    </row>
    <row r="35" spans="3:5">
      <c r="C35" s="558">
        <f t="shared" si="1"/>
        <v>43252</v>
      </c>
      <c r="D35" s="559">
        <f>[76]Auswertung!O206</f>
        <v>0.115861967509405</v>
      </c>
      <c r="E35" s="557"/>
    </row>
    <row r="36" spans="3:5">
      <c r="C36" s="560">
        <f t="shared" si="1"/>
        <v>43282</v>
      </c>
      <c r="D36" s="561">
        <f>[76]Auswertung!O207</f>
        <v>0.155758959337214</v>
      </c>
      <c r="E36" s="559"/>
    </row>
    <row r="37" ht="17.55" spans="3:5">
      <c r="C37" s="562" t="s">
        <v>390</v>
      </c>
      <c r="D37" s="563">
        <f>[76]Auswertung!O208</f>
        <v>0.116871559842547</v>
      </c>
      <c r="E37" s="571"/>
    </row>
    <row r="38" ht="17.55"/>
    <row r="46" ht="30.25" customHeight="1" spans="1:13">
      <c r="A46" s="544"/>
      <c r="B46" s="244" t="s">
        <v>391</v>
      </c>
      <c r="C46" s="244" t="s">
        <v>391</v>
      </c>
      <c r="D46" s="544"/>
      <c r="E46" s="544"/>
      <c r="F46" s="544"/>
      <c r="G46" s="544"/>
      <c r="H46" s="544"/>
      <c r="I46" s="544"/>
      <c r="J46" s="544"/>
      <c r="K46" s="577" t="s">
        <v>420</v>
      </c>
      <c r="L46" s="577"/>
      <c r="M46" s="544"/>
    </row>
    <row r="47" ht="84" spans="1:14">
      <c r="A47" s="544"/>
      <c r="B47" s="244" t="s">
        <v>393</v>
      </c>
      <c r="C47" s="244" t="s">
        <v>394</v>
      </c>
      <c r="D47" s="244" t="s">
        <v>395</v>
      </c>
      <c r="E47" s="244" t="s">
        <v>396</v>
      </c>
      <c r="F47" s="244" t="s">
        <v>183</v>
      </c>
      <c r="G47" s="244" t="s">
        <v>184</v>
      </c>
      <c r="H47" s="244" t="s">
        <v>397</v>
      </c>
      <c r="I47" s="244" t="s">
        <v>398</v>
      </c>
      <c r="J47" s="244" t="s">
        <v>399</v>
      </c>
      <c r="K47" s="244" t="s">
        <v>400</v>
      </c>
      <c r="L47" s="244" t="s">
        <v>401</v>
      </c>
      <c r="M47" s="244" t="s">
        <v>862</v>
      </c>
      <c r="N47" s="48"/>
    </row>
    <row r="48" ht="34" spans="1:24">
      <c r="A48" s="545" t="s">
        <v>154</v>
      </c>
      <c r="B48" s="564" t="s">
        <v>185</v>
      </c>
      <c r="C48" s="564" t="s">
        <v>185</v>
      </c>
      <c r="D48" s="564" t="s">
        <v>185</v>
      </c>
      <c r="E48" s="564" t="s">
        <v>185</v>
      </c>
      <c r="F48" s="564" t="s">
        <v>59</v>
      </c>
      <c r="G48" s="564" t="s">
        <v>402</v>
      </c>
      <c r="H48" s="564" t="s">
        <v>185</v>
      </c>
      <c r="I48" s="564" t="s">
        <v>403</v>
      </c>
      <c r="J48" s="564" t="s">
        <v>404</v>
      </c>
      <c r="K48" s="564" t="s">
        <v>122</v>
      </c>
      <c r="L48" s="564" t="s">
        <v>122</v>
      </c>
      <c r="M48" s="564"/>
      <c r="N48" s="48"/>
      <c r="X48" s="579"/>
    </row>
    <row r="49" spans="1:13">
      <c r="A49" s="546">
        <f t="shared" ref="A49:A60" si="2">C25</f>
        <v>42948</v>
      </c>
      <c r="B49" s="565">
        <f>[76]Biogas_Nm!E10</f>
        <v>391482.12</v>
      </c>
      <c r="C49" s="565">
        <f t="shared" ref="C49:C60" si="3">B49/(L49/K49)</f>
        <v>397402.454517958</v>
      </c>
      <c r="D49" s="566">
        <f>'[76]Tabellen für Auswertung'!O123</f>
        <v>76000</v>
      </c>
      <c r="E49" s="565">
        <f>'[76]Tabellen für Auswertung'!P123</f>
        <v>152100</v>
      </c>
      <c r="F49" s="572">
        <f t="shared" ref="F49:F60" si="4">B49/K49/J49*100</f>
        <v>101.252358783364</v>
      </c>
      <c r="G49" s="572">
        <f t="shared" ref="G49:G60" si="5">D49/L49/J49*100</f>
        <v>19.9537912203319</v>
      </c>
      <c r="H49" s="573">
        <f t="shared" ref="H49:H60" si="6">E49/L49/J49</f>
        <v>0.399338374291115</v>
      </c>
      <c r="I49" s="544">
        <v>30</v>
      </c>
      <c r="J49" s="544">
        <f t="shared" ref="J49:J60" si="7">I49*24</f>
        <v>720</v>
      </c>
      <c r="K49" s="566">
        <v>537</v>
      </c>
      <c r="L49" s="566">
        <v>529</v>
      </c>
      <c r="M49" s="573">
        <f t="shared" ref="M49:M60" si="8">K49/L49</f>
        <v>1.01512287334594</v>
      </c>
    </row>
    <row r="50" spans="1:13">
      <c r="A50" s="546">
        <f t="shared" si="2"/>
        <v>42979</v>
      </c>
      <c r="B50" s="565">
        <f>[76]Biogas_Nm!E11</f>
        <v>387252.18</v>
      </c>
      <c r="C50" s="565">
        <f t="shared" si="3"/>
        <v>393108.545671078</v>
      </c>
      <c r="D50" s="566">
        <f>'[76]Tabellen für Auswertung'!O124</f>
        <v>63000</v>
      </c>
      <c r="E50" s="565">
        <f>'[76]Tabellen für Auswertung'!P124</f>
        <v>149100</v>
      </c>
      <c r="F50" s="572">
        <f t="shared" si="4"/>
        <v>96.9274193548387</v>
      </c>
      <c r="G50" s="572">
        <f t="shared" si="5"/>
        <v>16.0070736020489</v>
      </c>
      <c r="H50" s="573">
        <f t="shared" si="6"/>
        <v>0.378834075248491</v>
      </c>
      <c r="I50" s="544">
        <v>31</v>
      </c>
      <c r="J50" s="544">
        <f t="shared" si="7"/>
        <v>744</v>
      </c>
      <c r="K50" s="566">
        <v>537</v>
      </c>
      <c r="L50" s="566">
        <v>529</v>
      </c>
      <c r="M50" s="573">
        <f t="shared" si="8"/>
        <v>1.01512287334594</v>
      </c>
    </row>
    <row r="51" spans="1:13">
      <c r="A51" s="546">
        <f t="shared" si="2"/>
        <v>43009</v>
      </c>
      <c r="B51" s="565">
        <f>[76]Biogas_Nm!E12</f>
        <v>354742.74</v>
      </c>
      <c r="C51" s="565">
        <f t="shared" si="3"/>
        <v>360107.46952741</v>
      </c>
      <c r="D51" s="566">
        <f>'[76]Tabellen für Auswertung'!O125</f>
        <v>115000</v>
      </c>
      <c r="E51" s="565">
        <f>'[76]Tabellen für Auswertung'!P125</f>
        <v>219900</v>
      </c>
      <c r="F51" s="572">
        <f t="shared" si="4"/>
        <v>91.7501396648045</v>
      </c>
      <c r="G51" s="572">
        <f t="shared" si="5"/>
        <v>30.1932367149758</v>
      </c>
      <c r="H51" s="573">
        <f t="shared" si="6"/>
        <v>0.577347195967234</v>
      </c>
      <c r="I51" s="544">
        <v>30</v>
      </c>
      <c r="J51" s="544">
        <f t="shared" si="7"/>
        <v>720</v>
      </c>
      <c r="K51" s="566">
        <v>537</v>
      </c>
      <c r="L51" s="566">
        <v>529</v>
      </c>
      <c r="M51" s="573">
        <f t="shared" si="8"/>
        <v>1.01512287334594</v>
      </c>
    </row>
    <row r="52" spans="1:13">
      <c r="A52" s="546">
        <f t="shared" si="2"/>
        <v>43040</v>
      </c>
      <c r="B52" s="565">
        <f>[76]Biogas_Nm!E13</f>
        <v>386927.82</v>
      </c>
      <c r="C52" s="565">
        <f t="shared" si="3"/>
        <v>392779.280415879</v>
      </c>
      <c r="D52" s="566">
        <f>'[76]Tabellen für Auswertung'!O126</f>
        <v>175000</v>
      </c>
      <c r="E52" s="565">
        <f>'[76]Tabellen für Auswertung'!P126</f>
        <v>315200</v>
      </c>
      <c r="F52" s="572">
        <f t="shared" si="4"/>
        <v>96.8462335555956</v>
      </c>
      <c r="G52" s="572">
        <f t="shared" si="5"/>
        <v>44.4640933390247</v>
      </c>
      <c r="H52" s="573">
        <f t="shared" si="6"/>
        <v>0.800861841169177</v>
      </c>
      <c r="I52" s="544">
        <v>31</v>
      </c>
      <c r="J52" s="544">
        <f t="shared" si="7"/>
        <v>744</v>
      </c>
      <c r="K52" s="566">
        <v>537</v>
      </c>
      <c r="L52" s="566">
        <v>529</v>
      </c>
      <c r="M52" s="573">
        <f t="shared" si="8"/>
        <v>1.01512287334594</v>
      </c>
    </row>
    <row r="53" spans="1:13">
      <c r="A53" s="546">
        <f t="shared" si="2"/>
        <v>43070</v>
      </c>
      <c r="B53" s="565">
        <f>[76]Biogas_Nm!E14</f>
        <v>400725.36</v>
      </c>
      <c r="C53" s="565">
        <f t="shared" si="3"/>
        <v>406785.478865784</v>
      </c>
      <c r="D53" s="566">
        <f>'[76]Tabellen für Auswertung'!O127</f>
        <v>161000</v>
      </c>
      <c r="E53" s="565">
        <f>'[76]Tabellen für Auswertung'!P127</f>
        <v>309300</v>
      </c>
      <c r="F53" s="572">
        <f t="shared" si="4"/>
        <v>100.299693638493</v>
      </c>
      <c r="G53" s="572">
        <f t="shared" si="5"/>
        <v>40.9069658719028</v>
      </c>
      <c r="H53" s="573">
        <f t="shared" si="6"/>
        <v>0.785871089700591</v>
      </c>
      <c r="I53" s="544">
        <v>31</v>
      </c>
      <c r="J53" s="544">
        <f t="shared" si="7"/>
        <v>744</v>
      </c>
      <c r="K53" s="566">
        <v>537</v>
      </c>
      <c r="L53" s="566">
        <v>529</v>
      </c>
      <c r="M53" s="573">
        <f t="shared" si="8"/>
        <v>1.01512287334594</v>
      </c>
    </row>
    <row r="54" spans="1:13">
      <c r="A54" s="546">
        <f t="shared" si="2"/>
        <v>43101</v>
      </c>
      <c r="B54" s="565">
        <f>[76]Biogas_Nm!E15</f>
        <v>384751.14</v>
      </c>
      <c r="C54" s="565">
        <f t="shared" si="3"/>
        <v>390569.682759924</v>
      </c>
      <c r="D54" s="566">
        <f>'[76]Tabellen für Auswertung'!O128</f>
        <v>172000</v>
      </c>
      <c r="E54" s="565">
        <f>'[76]Tabellen für Auswertung'!P128</f>
        <v>307600</v>
      </c>
      <c r="F54" s="572">
        <f t="shared" si="4"/>
        <v>106.619430034584</v>
      </c>
      <c r="G54" s="572">
        <f t="shared" si="5"/>
        <v>48.3841929966694</v>
      </c>
      <c r="H54" s="573">
        <f t="shared" si="6"/>
        <v>0.865289404986948</v>
      </c>
      <c r="I54" s="544">
        <v>28</v>
      </c>
      <c r="J54" s="544">
        <f t="shared" si="7"/>
        <v>672</v>
      </c>
      <c r="K54" s="566">
        <v>537</v>
      </c>
      <c r="L54" s="566">
        <v>529</v>
      </c>
      <c r="M54" s="573">
        <f t="shared" si="8"/>
        <v>1.01512287334594</v>
      </c>
    </row>
    <row r="55" spans="1:13">
      <c r="A55" s="546">
        <f t="shared" si="2"/>
        <v>43132</v>
      </c>
      <c r="B55" s="565">
        <f>[76]Biogas_Nm!E16</f>
        <v>358064.88</v>
      </c>
      <c r="C55" s="565">
        <f t="shared" si="3"/>
        <v>363479.849829868</v>
      </c>
      <c r="D55" s="566">
        <f>'[76]Tabellen für Auswertung'!O129</f>
        <v>153000</v>
      </c>
      <c r="E55" s="565">
        <f>'[76]Tabellen für Auswertung'!P129</f>
        <v>280100</v>
      </c>
      <c r="F55" s="572">
        <f t="shared" si="4"/>
        <v>89.6219739292365</v>
      </c>
      <c r="G55" s="572">
        <f t="shared" si="5"/>
        <v>38.8743216049759</v>
      </c>
      <c r="H55" s="573">
        <f t="shared" si="6"/>
        <v>0.711679573957762</v>
      </c>
      <c r="I55" s="544">
        <v>31</v>
      </c>
      <c r="J55" s="544">
        <f t="shared" si="7"/>
        <v>744</v>
      </c>
      <c r="K55" s="566">
        <v>537</v>
      </c>
      <c r="L55" s="566">
        <v>529</v>
      </c>
      <c r="M55" s="573">
        <f t="shared" si="8"/>
        <v>1.01512287334594</v>
      </c>
    </row>
    <row r="56" spans="1:13">
      <c r="A56" s="546">
        <f t="shared" si="2"/>
        <v>43160</v>
      </c>
      <c r="B56" s="565">
        <f>[76]Biogas_Nm!E17</f>
        <v>402075.84</v>
      </c>
      <c r="C56" s="565">
        <f t="shared" si="3"/>
        <v>408156.382003781</v>
      </c>
      <c r="D56" s="566">
        <f>'[76]Tabellen für Auswertung'!O130</f>
        <v>147000</v>
      </c>
      <c r="E56" s="565">
        <f>'[76]Tabellen für Auswertung'!P130</f>
        <v>304500</v>
      </c>
      <c r="F56" s="572">
        <f t="shared" si="4"/>
        <v>103.992302917443</v>
      </c>
      <c r="G56" s="572">
        <f t="shared" si="5"/>
        <v>38.5948330182735</v>
      </c>
      <c r="H56" s="573">
        <f t="shared" si="6"/>
        <v>0.799464398235665</v>
      </c>
      <c r="I56" s="544">
        <v>30</v>
      </c>
      <c r="J56" s="544">
        <f t="shared" si="7"/>
        <v>720</v>
      </c>
      <c r="K56" s="566">
        <v>537</v>
      </c>
      <c r="L56" s="566">
        <v>529</v>
      </c>
      <c r="M56" s="573">
        <f t="shared" si="8"/>
        <v>1.01512287334594</v>
      </c>
    </row>
    <row r="57" spans="1:13">
      <c r="A57" s="546">
        <f t="shared" si="2"/>
        <v>43191</v>
      </c>
      <c r="B57" s="565">
        <f>[76]Biogas_Nm!E18</f>
        <v>381747.24</v>
      </c>
      <c r="C57" s="565">
        <f t="shared" si="3"/>
        <v>387520.355160681</v>
      </c>
      <c r="D57" s="566">
        <f>'[76]Tabellen für Auswertung'!O131</f>
        <v>104000</v>
      </c>
      <c r="E57" s="565">
        <f>'[76]Tabellen für Auswertung'!P131</f>
        <v>183500</v>
      </c>
      <c r="F57" s="572">
        <f t="shared" si="4"/>
        <v>95.5495584790052</v>
      </c>
      <c r="G57" s="572">
        <f t="shared" si="5"/>
        <v>26.424375470049</v>
      </c>
      <c r="H57" s="573">
        <f t="shared" si="6"/>
        <v>0.466237778726345</v>
      </c>
      <c r="I57" s="544">
        <v>31</v>
      </c>
      <c r="J57" s="544">
        <f t="shared" si="7"/>
        <v>744</v>
      </c>
      <c r="K57" s="566">
        <v>537</v>
      </c>
      <c r="L57" s="566">
        <v>529</v>
      </c>
      <c r="M57" s="573">
        <f t="shared" si="8"/>
        <v>1.01512287334594</v>
      </c>
    </row>
    <row r="58" spans="1:13">
      <c r="A58" s="546">
        <f t="shared" si="2"/>
        <v>43221</v>
      </c>
      <c r="B58" s="565">
        <f>[76]Biogas_Nm!E19</f>
        <v>390572.28</v>
      </c>
      <c r="C58" s="565">
        <f t="shared" si="3"/>
        <v>396478.855122873</v>
      </c>
      <c r="D58" s="566">
        <f>'[76]Tabellen für Auswertung'!O132</f>
        <v>143000</v>
      </c>
      <c r="E58" s="565">
        <f>'[76]Tabellen für Auswertung'!P132</f>
        <v>206700</v>
      </c>
      <c r="F58" s="572">
        <f t="shared" si="4"/>
        <v>101.017039106145</v>
      </c>
      <c r="G58" s="572">
        <f t="shared" si="5"/>
        <v>37.5446334803613</v>
      </c>
      <c r="H58" s="573">
        <f t="shared" si="6"/>
        <v>0.542690611216131</v>
      </c>
      <c r="I58" s="544">
        <v>30</v>
      </c>
      <c r="J58" s="544">
        <f t="shared" si="7"/>
        <v>720</v>
      </c>
      <c r="K58" s="566">
        <v>537</v>
      </c>
      <c r="L58" s="566">
        <v>529</v>
      </c>
      <c r="M58" s="573">
        <f t="shared" si="8"/>
        <v>1.01512287334594</v>
      </c>
    </row>
    <row r="59" spans="1:13">
      <c r="A59" s="546">
        <f t="shared" si="2"/>
        <v>43252</v>
      </c>
      <c r="B59" s="565">
        <f>[76]Biogas_Nm!E20</f>
        <v>354828.42</v>
      </c>
      <c r="C59" s="565">
        <f t="shared" si="3"/>
        <v>360194.445255198</v>
      </c>
      <c r="D59" s="566">
        <f>'[76]Tabellen für Auswertung'!O133</f>
        <v>124000</v>
      </c>
      <c r="E59" s="565">
        <f>'[76]Tabellen für Auswertung'!P133</f>
        <v>202700</v>
      </c>
      <c r="F59" s="572">
        <f t="shared" si="4"/>
        <v>88.8119030455938</v>
      </c>
      <c r="G59" s="572">
        <f t="shared" si="5"/>
        <v>31.5059861373661</v>
      </c>
      <c r="H59" s="573">
        <f t="shared" si="6"/>
        <v>0.515021241132589</v>
      </c>
      <c r="I59" s="544">
        <v>31</v>
      </c>
      <c r="J59" s="544">
        <f t="shared" si="7"/>
        <v>744</v>
      </c>
      <c r="K59" s="566">
        <v>537</v>
      </c>
      <c r="L59" s="566">
        <v>529</v>
      </c>
      <c r="M59" s="573">
        <f t="shared" si="8"/>
        <v>1.01512287334594</v>
      </c>
    </row>
    <row r="60" spans="1:13">
      <c r="A60" s="548">
        <f t="shared" si="2"/>
        <v>43282</v>
      </c>
      <c r="B60" s="567">
        <f>[76]Biogas_Nm!E21</f>
        <v>340524.96</v>
      </c>
      <c r="C60" s="567">
        <f t="shared" si="3"/>
        <v>345674.67584121</v>
      </c>
      <c r="D60" s="568">
        <f>'[76]Tabellen für Auswertung'!O134</f>
        <v>102000</v>
      </c>
      <c r="E60" s="567">
        <f>'[76]Tabellen für Auswertung'!P134</f>
        <v>175800</v>
      </c>
      <c r="F60" s="574">
        <f t="shared" si="4"/>
        <v>88.0728739913097</v>
      </c>
      <c r="G60" s="574">
        <f t="shared" si="5"/>
        <v>26.7800882167612</v>
      </c>
      <c r="H60" s="575">
        <f t="shared" si="6"/>
        <v>0.461562696912413</v>
      </c>
      <c r="I60" s="545">
        <v>30</v>
      </c>
      <c r="J60" s="545">
        <f t="shared" si="7"/>
        <v>720</v>
      </c>
      <c r="K60" s="568">
        <v>537</v>
      </c>
      <c r="L60" s="568">
        <v>529</v>
      </c>
      <c r="M60" s="575">
        <f t="shared" si="8"/>
        <v>1.01512287334594</v>
      </c>
    </row>
    <row r="61" spans="1:13">
      <c r="A61" s="544" t="s">
        <v>406</v>
      </c>
      <c r="B61" s="565">
        <f t="shared" ref="B61:H61" si="9">AVERAGE(B49:B60)</f>
        <v>377807.915</v>
      </c>
      <c r="C61" s="565">
        <f t="shared" si="9"/>
        <v>383521.456247637</v>
      </c>
      <c r="D61" s="565">
        <f t="shared" si="9"/>
        <v>127916.666666667</v>
      </c>
      <c r="E61" s="565">
        <f t="shared" si="9"/>
        <v>233875</v>
      </c>
      <c r="F61" s="576">
        <f t="shared" si="9"/>
        <v>96.7300772083678</v>
      </c>
      <c r="G61" s="576">
        <f t="shared" si="9"/>
        <v>33.3027993060617</v>
      </c>
      <c r="H61" s="573">
        <f t="shared" si="9"/>
        <v>0.608683190128705</v>
      </c>
      <c r="I61" s="544"/>
      <c r="J61" s="544"/>
      <c r="K61" s="544">
        <f>AVERAGE(K49:K60)</f>
        <v>537</v>
      </c>
      <c r="L61" s="544">
        <f>AVERAGE(L49:L60)</f>
        <v>529</v>
      </c>
      <c r="M61" s="544"/>
    </row>
    <row r="62" spans="1:13">
      <c r="A62" s="544" t="s">
        <v>386</v>
      </c>
      <c r="B62" s="565">
        <f>SUM(B49:B60)</f>
        <v>4533694.98</v>
      </c>
      <c r="C62" s="565">
        <f>SUM(C49:C60)</f>
        <v>4602257.47497164</v>
      </c>
      <c r="D62" s="565">
        <f>SUM(D49:D60)</f>
        <v>1535000</v>
      </c>
      <c r="E62" s="565">
        <f>SUM(E49:E60)</f>
        <v>2806500</v>
      </c>
      <c r="F62" s="544"/>
      <c r="G62" s="544"/>
      <c r="H62" s="544"/>
      <c r="I62" s="544"/>
      <c r="J62" s="544"/>
      <c r="K62" s="544"/>
      <c r="L62" s="544"/>
      <c r="M62" s="544"/>
    </row>
    <row r="63" spans="1:13">
      <c r="A63" s="544"/>
      <c r="B63" s="544"/>
      <c r="C63" s="544"/>
      <c r="D63" s="544"/>
      <c r="E63" s="544"/>
      <c r="F63" s="544" t="s">
        <v>407</v>
      </c>
      <c r="G63" s="544"/>
      <c r="H63" s="544"/>
      <c r="I63" s="544"/>
      <c r="J63" s="544"/>
      <c r="K63" s="544"/>
      <c r="L63" s="544"/>
      <c r="M63" s="544"/>
    </row>
    <row r="64" spans="1:13">
      <c r="A64" s="544"/>
      <c r="B64" s="544"/>
      <c r="C64" s="544"/>
      <c r="D64" s="544"/>
      <c r="E64" s="544"/>
      <c r="F64" s="576">
        <f>(B62+E62)/((K61+L61)*8760)</f>
        <v>0.78604296563777</v>
      </c>
      <c r="G64" s="544" t="s">
        <v>408</v>
      </c>
      <c r="H64" s="544"/>
      <c r="I64" s="544"/>
      <c r="J64" s="544"/>
      <c r="K64" s="544"/>
      <c r="L64" s="544"/>
      <c r="M64" s="544"/>
    </row>
    <row r="65" spans="1:13">
      <c r="A65" s="544"/>
      <c r="B65" s="544"/>
      <c r="C65" s="544"/>
      <c r="D65" s="544"/>
      <c r="E65" s="544"/>
      <c r="F65" s="544"/>
      <c r="G65" s="544" t="s">
        <v>409</v>
      </c>
      <c r="H65" s="544"/>
      <c r="I65" s="544"/>
      <c r="J65" s="544"/>
      <c r="K65" s="544"/>
      <c r="L65" s="544"/>
      <c r="M65" s="544"/>
    </row>
    <row r="66" spans="1:13">
      <c r="A66" s="544"/>
      <c r="B66" s="544"/>
      <c r="C66" s="544"/>
      <c r="D66" s="544"/>
      <c r="E66" s="544"/>
      <c r="F66" s="544"/>
      <c r="G66" s="544"/>
      <c r="H66" s="544"/>
      <c r="I66" s="544"/>
      <c r="J66" s="544"/>
      <c r="K66" s="544"/>
      <c r="L66" s="544"/>
      <c r="M66" s="544"/>
    </row>
    <row r="67" spans="1:13">
      <c r="A67" s="544"/>
      <c r="B67" s="544"/>
      <c r="C67" s="544"/>
      <c r="D67" s="544"/>
      <c r="E67" s="544"/>
      <c r="F67" s="544">
        <f>B62/K61/8760</f>
        <v>0.963771115532767</v>
      </c>
      <c r="G67" s="544"/>
      <c r="H67" s="544"/>
      <c r="I67" s="544"/>
      <c r="J67" s="544"/>
      <c r="K67" s="544"/>
      <c r="L67" s="544"/>
      <c r="M67" s="544"/>
    </row>
  </sheetData>
  <mergeCells count="1">
    <mergeCell ref="K46:L46"/>
  </mergeCells>
  <pageMargins left="0.7" right="0.7" top="0.787401575" bottom="0.787401575" header="0.3" footer="0.3"/>
  <pageSetup paperSize="9" orientation="portrait"/>
  <headerFooter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A1:N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849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537</v>
      </c>
      <c r="G3" s="22"/>
      <c r="H3" s="23" t="s">
        <v>187</v>
      </c>
      <c r="I3" s="5" t="s">
        <v>188</v>
      </c>
      <c r="J3" s="35">
        <v>4503464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f>0.95*F3</f>
        <v>510.15</v>
      </c>
      <c r="G4" s="217"/>
      <c r="H4" s="25" t="s">
        <v>187</v>
      </c>
      <c r="I4" s="7" t="s">
        <v>191</v>
      </c>
      <c r="J4" s="37">
        <v>1580000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89.8602816274377</v>
      </c>
      <c r="H6" s="27" t="s">
        <v>195</v>
      </c>
      <c r="I6" s="1"/>
      <c r="J6" s="40">
        <v>886669.29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2.9609192744474</v>
      </c>
      <c r="H7" s="27" t="s">
        <v>195</v>
      </c>
      <c r="I7" s="1"/>
      <c r="J7" s="40">
        <v>29215.98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7.17879909811488</v>
      </c>
      <c r="H8" s="27" t="s">
        <v>195</v>
      </c>
      <c r="I8" s="1"/>
      <c r="J8" s="40">
        <v>70834.64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986719.91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1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24.3721682825994</v>
      </c>
      <c r="H11" s="27" t="s">
        <v>195</v>
      </c>
      <c r="I11" s="1"/>
      <c r="J11" s="40">
        <v>140448.2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34.33</v>
      </c>
      <c r="F13" s="15" t="s">
        <v>204</v>
      </c>
      <c r="G13" s="31"/>
      <c r="H13" s="15"/>
      <c r="I13" s="15"/>
      <c r="J13" s="45">
        <v>121528.2</v>
      </c>
      <c r="K13" s="44" t="s">
        <v>196</v>
      </c>
      <c r="L13" s="15"/>
    </row>
    <row r="14" ht="21.75" customHeight="1" spans="1:14">
      <c r="A14" s="15"/>
      <c r="B14" s="16"/>
      <c r="C14" s="15"/>
      <c r="D14" s="15" t="s">
        <v>205</v>
      </c>
      <c r="E14" s="185">
        <v>22</v>
      </c>
      <c r="F14" s="15" t="s">
        <v>204</v>
      </c>
      <c r="G14" s="31"/>
      <c r="H14" s="15"/>
      <c r="I14" s="15"/>
      <c r="J14" s="45">
        <v>11132</v>
      </c>
      <c r="K14" s="44" t="s">
        <v>196</v>
      </c>
      <c r="L14" s="15"/>
      <c r="N14" s="154"/>
    </row>
    <row r="15" ht="21.75" customHeight="1" spans="1:12">
      <c r="A15" s="15"/>
      <c r="B15" s="16"/>
      <c r="C15" s="15"/>
      <c r="D15" s="15" t="s">
        <v>242</v>
      </c>
      <c r="E15" s="196">
        <f>J15/(44.08+54.38)</f>
        <v>79.0981109079831</v>
      </c>
      <c r="F15" s="15" t="s">
        <v>204</v>
      </c>
      <c r="G15" s="31"/>
      <c r="H15" s="15"/>
      <c r="I15" s="15"/>
      <c r="J15" s="185">
        <v>7788.00000000001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4.88317269621361</v>
      </c>
      <c r="H16" s="27" t="s">
        <v>195</v>
      </c>
      <c r="I16" s="1"/>
      <c r="J16" s="40">
        <v>28140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24.542541379726</v>
      </c>
      <c r="H17" s="27" t="s">
        <v>195</v>
      </c>
      <c r="I17" s="1"/>
      <c r="J17" s="40">
        <v>141430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14.3828576413384</v>
      </c>
      <c r="H18" s="27" t="s">
        <v>195</v>
      </c>
      <c r="I18" s="1"/>
      <c r="J18" s="40">
        <v>82883.33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31.8192600001225</v>
      </c>
      <c r="H19" s="27" t="s">
        <v>195</v>
      </c>
      <c r="I19" s="1"/>
      <c r="J19" s="40">
        <v>183363.16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79886.03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25000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1500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27947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49030.13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576264.69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21.9102430928725</v>
      </c>
      <c r="K34" s="41" t="s">
        <v>226</v>
      </c>
      <c r="L34" s="1"/>
    </row>
    <row r="35" ht="21.75" customHeight="1" spans="1:13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12.7960318990004</v>
      </c>
      <c r="K35" s="41" t="s">
        <v>226</v>
      </c>
      <c r="L35" s="1"/>
      <c r="M35" t="s">
        <v>77</v>
      </c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9.1142111938721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410455.22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B1:O72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501" customWidth="1"/>
    <col min="2" max="2" width="31.1634615384615" style="501" customWidth="1"/>
    <col min="3" max="6" width="11.5" style="501"/>
    <col min="7" max="7" width="2.66346153846154" style="501" customWidth="1"/>
    <col min="8" max="8" width="15.3365384615385" style="501" customWidth="1"/>
    <col min="9" max="9" width="11.5" style="501"/>
    <col min="10" max="10" width="13.8365384615385" style="501" customWidth="1"/>
    <col min="11" max="13" width="11.5" style="501"/>
    <col min="14" max="14" width="18.3365384615385" style="501" customWidth="1"/>
    <col min="15" max="16384" width="11.5" style="501"/>
  </cols>
  <sheetData>
    <row r="1" ht="21.75" customHeight="1"/>
    <row r="2" ht="25.5" customHeight="1" spans="2:14">
      <c r="B2" s="49" t="s">
        <v>863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56"/>
      <c r="N2" s="156"/>
    </row>
    <row r="3" ht="17.6" spans="2:14">
      <c r="B3" s="502" t="s">
        <v>440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56"/>
      <c r="N3" s="156"/>
    </row>
    <row r="4" spans="2:14">
      <c r="B4" s="54" t="s">
        <v>2</v>
      </c>
      <c r="C4" s="213" t="s">
        <v>261</v>
      </c>
      <c r="D4" s="213"/>
      <c r="E4" s="522"/>
      <c r="F4" s="96"/>
      <c r="G4" s="96"/>
      <c r="H4" s="56"/>
      <c r="I4" s="56"/>
      <c r="J4" s="64"/>
      <c r="K4" s="64"/>
      <c r="L4" s="114"/>
      <c r="M4" s="156"/>
      <c r="N4" s="156"/>
    </row>
    <row r="5" spans="2:14">
      <c r="B5" s="54" t="s">
        <v>4</v>
      </c>
      <c r="C5" s="186">
        <v>39539</v>
      </c>
      <c r="D5" s="186"/>
      <c r="E5" s="522"/>
      <c r="F5" s="96"/>
      <c r="G5" s="96"/>
      <c r="H5" s="56"/>
      <c r="I5" s="56"/>
      <c r="J5" s="64"/>
      <c r="K5" s="64"/>
      <c r="L5" s="114"/>
      <c r="M5" s="156"/>
      <c r="N5" s="156"/>
    </row>
    <row r="6" spans="2:14">
      <c r="B6" s="57" t="s">
        <v>6</v>
      </c>
      <c r="C6" s="213" t="s">
        <v>809</v>
      </c>
      <c r="D6" s="213"/>
      <c r="E6" s="522"/>
      <c r="F6" s="96"/>
      <c r="G6" s="96"/>
      <c r="H6" s="56"/>
      <c r="I6" s="56"/>
      <c r="J6" s="64"/>
      <c r="K6" s="64"/>
      <c r="L6" s="114"/>
      <c r="M6" s="156"/>
      <c r="N6" s="156"/>
    </row>
    <row r="7" spans="2:14">
      <c r="B7" s="503" t="s">
        <v>20</v>
      </c>
      <c r="C7" s="213" t="s">
        <v>369</v>
      </c>
      <c r="D7" s="213"/>
      <c r="E7" s="56"/>
      <c r="F7" s="56"/>
      <c r="G7" s="56"/>
      <c r="H7" s="56"/>
      <c r="I7" s="56"/>
      <c r="J7" s="64"/>
      <c r="K7" s="64"/>
      <c r="L7" s="114"/>
      <c r="M7" s="156"/>
      <c r="N7" s="156"/>
    </row>
    <row r="8" spans="2:14">
      <c r="B8" s="503" t="s">
        <v>107</v>
      </c>
      <c r="C8" s="213" t="s">
        <v>441</v>
      </c>
      <c r="D8" s="213"/>
      <c r="E8" s="56"/>
      <c r="F8" s="56"/>
      <c r="G8" s="56"/>
      <c r="H8" s="56"/>
      <c r="I8" s="56"/>
      <c r="J8" s="64"/>
      <c r="K8" s="64"/>
      <c r="L8" s="114"/>
      <c r="M8" s="156"/>
      <c r="N8" s="156"/>
    </row>
    <row r="9" spans="2:14">
      <c r="B9" s="57" t="s">
        <v>12</v>
      </c>
      <c r="C9" s="56" t="s">
        <v>13</v>
      </c>
      <c r="D9" s="56"/>
      <c r="E9" s="56"/>
      <c r="F9" s="56"/>
      <c r="G9" s="56"/>
      <c r="H9" s="56"/>
      <c r="I9" s="56"/>
      <c r="J9" s="64"/>
      <c r="K9" s="64"/>
      <c r="L9" s="114"/>
      <c r="M9" s="156"/>
      <c r="N9" s="156"/>
    </row>
    <row r="10" ht="15" spans="2:14">
      <c r="B10" s="60" t="s">
        <v>232</v>
      </c>
      <c r="C10" s="56" t="s">
        <v>864</v>
      </c>
      <c r="D10" s="56"/>
      <c r="E10" s="56"/>
      <c r="F10" s="56"/>
      <c r="G10" s="56"/>
      <c r="H10" s="56"/>
      <c r="I10" s="56"/>
      <c r="J10" s="64"/>
      <c r="K10" s="64"/>
      <c r="L10" s="114"/>
      <c r="M10" s="156"/>
      <c r="N10" s="156"/>
    </row>
    <row r="11" spans="2:14">
      <c r="B11" s="128"/>
      <c r="C11" s="504"/>
      <c r="D11" s="504"/>
      <c r="E11" s="504"/>
      <c r="F11" s="504"/>
      <c r="G11" s="504"/>
      <c r="H11" s="504"/>
      <c r="I11" s="56"/>
      <c r="J11" s="62"/>
      <c r="K11" s="62"/>
      <c r="L11" s="114"/>
      <c r="M11" s="156"/>
      <c r="N11" s="156"/>
    </row>
    <row r="12" ht="17.6" spans="2:14">
      <c r="B12" s="502" t="s">
        <v>865</v>
      </c>
      <c r="C12" s="64"/>
      <c r="D12" s="505"/>
      <c r="E12" s="505"/>
      <c r="F12" s="505"/>
      <c r="G12" s="67"/>
      <c r="H12" s="97"/>
      <c r="I12" s="532" t="s">
        <v>230</v>
      </c>
      <c r="J12" s="64"/>
      <c r="K12" s="64"/>
      <c r="L12" s="152"/>
      <c r="M12" s="156"/>
      <c r="N12" s="156"/>
    </row>
    <row r="13" spans="2:14">
      <c r="B13" s="506" t="s">
        <v>233</v>
      </c>
      <c r="C13" s="64"/>
      <c r="D13" s="67" t="s">
        <v>259</v>
      </c>
      <c r="E13" s="67" t="s">
        <v>178</v>
      </c>
      <c r="F13" s="523" t="s">
        <v>23</v>
      </c>
      <c r="G13" s="524"/>
      <c r="H13" s="525" t="s">
        <v>24</v>
      </c>
      <c r="I13" s="64"/>
      <c r="J13" s="64"/>
      <c r="K13" s="56" t="s">
        <v>25</v>
      </c>
      <c r="L13" s="114"/>
      <c r="M13" s="156"/>
      <c r="N13" s="156"/>
    </row>
    <row r="14" spans="2:14">
      <c r="B14" s="66" t="s">
        <v>26</v>
      </c>
      <c r="C14" s="64"/>
      <c r="D14" s="78">
        <v>1</v>
      </c>
      <c r="E14" s="78">
        <v>1</v>
      </c>
      <c r="F14" s="78">
        <v>1</v>
      </c>
      <c r="G14" s="64"/>
      <c r="H14" s="64"/>
      <c r="I14" s="66" t="s">
        <v>248</v>
      </c>
      <c r="J14" s="64"/>
      <c r="K14" s="161">
        <v>23949.13</v>
      </c>
      <c r="L14" s="114" t="s">
        <v>28</v>
      </c>
      <c r="M14" s="156"/>
      <c r="N14" s="156"/>
    </row>
    <row r="15" spans="2:14">
      <c r="B15" s="506" t="s">
        <v>54</v>
      </c>
      <c r="C15" s="64" t="s">
        <v>55</v>
      </c>
      <c r="D15" s="69">
        <v>1570</v>
      </c>
      <c r="E15" s="69">
        <v>1570</v>
      </c>
      <c r="F15" s="526">
        <v>4823</v>
      </c>
      <c r="G15" s="69"/>
      <c r="H15" s="98">
        <f>SUM(D15:G15)</f>
        <v>7963</v>
      </c>
      <c r="I15" s="64" t="s">
        <v>249</v>
      </c>
      <c r="J15" s="64"/>
      <c r="K15" s="205">
        <v>65.5923873527906</v>
      </c>
      <c r="L15" s="114" t="s">
        <v>56</v>
      </c>
      <c r="M15" s="156"/>
      <c r="N15" s="156"/>
    </row>
    <row r="16" spans="2:14">
      <c r="B16" s="506" t="s">
        <v>234</v>
      </c>
      <c r="C16" s="64" t="s">
        <v>55</v>
      </c>
      <c r="D16" s="69">
        <v>1437</v>
      </c>
      <c r="E16" s="69">
        <v>1437</v>
      </c>
      <c r="F16" s="526">
        <v>4421</v>
      </c>
      <c r="G16" s="69"/>
      <c r="H16" s="98">
        <f>SUM(D16:G16)</f>
        <v>7295</v>
      </c>
      <c r="I16" s="56" t="s">
        <v>155</v>
      </c>
      <c r="J16" s="56"/>
      <c r="K16" s="533">
        <v>75.9818832667408</v>
      </c>
      <c r="L16" s="118" t="s">
        <v>59</v>
      </c>
      <c r="M16" s="156"/>
      <c r="N16" s="156"/>
    </row>
    <row r="17" spans="2:14">
      <c r="B17" s="128" t="s">
        <v>61</v>
      </c>
      <c r="C17" s="56"/>
      <c r="D17" s="70" t="s">
        <v>63</v>
      </c>
      <c r="E17" s="70" t="s">
        <v>63</v>
      </c>
      <c r="F17" s="527" t="s">
        <v>63</v>
      </c>
      <c r="G17" s="70"/>
      <c r="H17" s="98"/>
      <c r="I17" s="56" t="s">
        <v>155</v>
      </c>
      <c r="J17" s="56"/>
      <c r="K17" s="533">
        <v>1.68014453969727</v>
      </c>
      <c r="L17" s="118" t="s">
        <v>59</v>
      </c>
      <c r="M17" s="156"/>
      <c r="N17" s="156"/>
    </row>
    <row r="18" spans="2:14">
      <c r="B18" s="128" t="s">
        <v>66</v>
      </c>
      <c r="C18" s="56" t="s">
        <v>55</v>
      </c>
      <c r="D18" s="507">
        <v>780</v>
      </c>
      <c r="E18" s="507">
        <v>780</v>
      </c>
      <c r="F18" s="507">
        <v>3000</v>
      </c>
      <c r="G18" s="71"/>
      <c r="H18" s="98">
        <f>SUM(D18:G18)</f>
        <v>4560</v>
      </c>
      <c r="I18" s="56" t="s">
        <v>371</v>
      </c>
      <c r="J18" s="56"/>
      <c r="K18" s="533">
        <v>17.8607740656967</v>
      </c>
      <c r="L18" s="118" t="s">
        <v>59</v>
      </c>
      <c r="M18" s="156"/>
      <c r="N18" s="156"/>
    </row>
    <row r="19" spans="2:14">
      <c r="B19" s="508"/>
      <c r="C19" s="509"/>
      <c r="D19" s="99"/>
      <c r="E19" s="99"/>
      <c r="F19" s="99"/>
      <c r="G19" s="99"/>
      <c r="H19" s="109"/>
      <c r="I19" s="56" t="s">
        <v>372</v>
      </c>
      <c r="J19" s="56"/>
      <c r="K19" s="533">
        <v>3.84878281591022</v>
      </c>
      <c r="L19" s="118" t="s">
        <v>59</v>
      </c>
      <c r="M19" s="156"/>
      <c r="N19" s="156"/>
    </row>
    <row r="20" ht="15.75" customHeight="1" spans="2:14">
      <c r="B20" s="510" t="s">
        <v>866</v>
      </c>
      <c r="C20" s="56"/>
      <c r="D20" s="70"/>
      <c r="E20" s="70"/>
      <c r="F20" s="70"/>
      <c r="G20" s="70"/>
      <c r="H20" s="100"/>
      <c r="I20" s="56" t="s">
        <v>157</v>
      </c>
      <c r="J20" s="56"/>
      <c r="K20" s="533">
        <v>0.628415311954964</v>
      </c>
      <c r="L20" s="118" t="s">
        <v>59</v>
      </c>
      <c r="M20" s="156"/>
      <c r="N20" s="156"/>
    </row>
    <row r="21" spans="2:14">
      <c r="B21" s="66" t="s">
        <v>71</v>
      </c>
      <c r="C21" s="64" t="s">
        <v>59</v>
      </c>
      <c r="D21" s="75">
        <v>8.66051667091123</v>
      </c>
      <c r="E21" s="78"/>
      <c r="F21" s="78"/>
      <c r="G21" s="78"/>
      <c r="H21" s="102"/>
      <c r="I21" s="56"/>
      <c r="J21" s="56"/>
      <c r="K21" s="533"/>
      <c r="L21" s="118"/>
      <c r="M21" s="156"/>
      <c r="N21" s="156"/>
    </row>
    <row r="22" spans="2:14">
      <c r="B22" s="66" t="s">
        <v>73</v>
      </c>
      <c r="C22" s="64" t="s">
        <v>59</v>
      </c>
      <c r="D22" s="75">
        <v>76.209815285056</v>
      </c>
      <c r="E22" s="78"/>
      <c r="F22" s="78"/>
      <c r="G22" s="78"/>
      <c r="H22" s="78"/>
      <c r="I22" s="57"/>
      <c r="J22" s="56"/>
      <c r="K22" s="533"/>
      <c r="L22" s="118"/>
      <c r="M22" s="156"/>
      <c r="N22" s="156"/>
    </row>
    <row r="23" ht="18" spans="2:14">
      <c r="B23" s="511" t="s">
        <v>74</v>
      </c>
      <c r="C23" s="76" t="s">
        <v>75</v>
      </c>
      <c r="D23" s="75"/>
      <c r="E23" s="78"/>
      <c r="F23" s="299"/>
      <c r="G23" s="299"/>
      <c r="H23" s="103" t="s">
        <v>238</v>
      </c>
      <c r="I23" s="534" t="s">
        <v>76</v>
      </c>
      <c r="J23" s="56"/>
      <c r="K23" s="535"/>
      <c r="L23" s="118"/>
      <c r="M23" s="156"/>
      <c r="N23" s="156"/>
    </row>
    <row r="24" ht="18" spans="2:14">
      <c r="B24" s="128" t="s">
        <v>78</v>
      </c>
      <c r="C24" s="56" t="s">
        <v>79</v>
      </c>
      <c r="D24" s="75"/>
      <c r="E24" s="78"/>
      <c r="F24" s="70"/>
      <c r="G24" s="70"/>
      <c r="H24" s="104" t="s">
        <v>867</v>
      </c>
      <c r="I24" s="127" t="s">
        <v>445</v>
      </c>
      <c r="J24" s="56"/>
      <c r="K24" s="163">
        <v>17.7788174258024</v>
      </c>
      <c r="L24" s="118" t="s">
        <v>59</v>
      </c>
      <c r="M24" s="156"/>
      <c r="N24" s="156"/>
    </row>
    <row r="25" ht="18" spans="2:14">
      <c r="B25" s="128" t="s">
        <v>448</v>
      </c>
      <c r="C25" s="56" t="s">
        <v>59</v>
      </c>
      <c r="D25" s="78"/>
      <c r="E25" s="78"/>
      <c r="F25" s="70"/>
      <c r="G25" s="70"/>
      <c r="H25" s="104" t="s">
        <v>427</v>
      </c>
      <c r="I25" s="128" t="s">
        <v>446</v>
      </c>
      <c r="J25" s="56"/>
      <c r="K25" s="163">
        <v>90.3461566606504</v>
      </c>
      <c r="L25" s="118" t="s">
        <v>59</v>
      </c>
      <c r="M25" s="156"/>
      <c r="N25" s="156"/>
    </row>
    <row r="26" ht="18" spans="2:14">
      <c r="B26" s="57" t="s">
        <v>84</v>
      </c>
      <c r="C26" s="56" t="s">
        <v>59</v>
      </c>
      <c r="D26" s="78"/>
      <c r="E26" s="78"/>
      <c r="F26" s="70"/>
      <c r="G26" s="70"/>
      <c r="H26" s="105" t="s">
        <v>428</v>
      </c>
      <c r="I26" s="57" t="s">
        <v>447</v>
      </c>
      <c r="J26" s="56"/>
      <c r="K26" s="163">
        <v>64.6477266135266</v>
      </c>
      <c r="L26" s="118" t="s">
        <v>59</v>
      </c>
      <c r="M26" s="156"/>
      <c r="N26" s="156"/>
    </row>
    <row r="27" ht="18" spans="2:14">
      <c r="B27" s="128" t="s">
        <v>87</v>
      </c>
      <c r="C27" s="56" t="s">
        <v>88</v>
      </c>
      <c r="D27" s="78"/>
      <c r="E27" s="78"/>
      <c r="F27" s="70"/>
      <c r="G27" s="70"/>
      <c r="H27" s="103" t="s">
        <v>378</v>
      </c>
      <c r="I27" s="81"/>
      <c r="J27" s="94"/>
      <c r="K27" s="536"/>
      <c r="L27" s="115"/>
      <c r="M27" s="156"/>
      <c r="N27" s="156"/>
    </row>
    <row r="28" ht="18" spans="2:14">
      <c r="B28" s="128" t="s">
        <v>90</v>
      </c>
      <c r="C28" s="56" t="s">
        <v>91</v>
      </c>
      <c r="D28" s="78"/>
      <c r="E28" s="78"/>
      <c r="F28" s="70"/>
      <c r="G28" s="70"/>
      <c r="H28" s="103" t="s">
        <v>237</v>
      </c>
      <c r="I28" s="63" t="s">
        <v>868</v>
      </c>
      <c r="J28" s="133"/>
      <c r="K28" s="64"/>
      <c r="L28" s="152"/>
      <c r="M28" s="156"/>
      <c r="N28" s="156"/>
    </row>
    <row r="29" spans="2:14">
      <c r="B29" s="128" t="s">
        <v>32</v>
      </c>
      <c r="C29" s="56" t="s">
        <v>62</v>
      </c>
      <c r="D29" s="75">
        <v>7.69818181818182</v>
      </c>
      <c r="E29" s="75"/>
      <c r="F29" s="78"/>
      <c r="G29" s="78"/>
      <c r="H29" s="102"/>
      <c r="I29" s="66" t="s">
        <v>449</v>
      </c>
      <c r="J29" s="64"/>
      <c r="K29" s="537">
        <v>1</v>
      </c>
      <c r="L29" s="64"/>
      <c r="M29" s="541"/>
      <c r="N29" s="156"/>
    </row>
    <row r="30" spans="2:14">
      <c r="B30" s="128" t="s">
        <v>94</v>
      </c>
      <c r="C30" s="56" t="s">
        <v>95</v>
      </c>
      <c r="D30" s="75">
        <v>40.7</v>
      </c>
      <c r="E30" s="75">
        <v>42.1</v>
      </c>
      <c r="F30" s="75">
        <v>32.7</v>
      </c>
      <c r="G30" s="70"/>
      <c r="H30" s="100"/>
      <c r="I30" s="66" t="s">
        <v>96</v>
      </c>
      <c r="J30" s="92"/>
      <c r="K30" s="161">
        <v>0</v>
      </c>
      <c r="L30" s="114" t="s">
        <v>55</v>
      </c>
      <c r="M30" s="541"/>
      <c r="N30" s="156" t="s">
        <v>77</v>
      </c>
    </row>
    <row r="31" ht="18" spans="2:14">
      <c r="B31" s="66" t="s">
        <v>97</v>
      </c>
      <c r="C31" s="64" t="s">
        <v>98</v>
      </c>
      <c r="D31" s="75">
        <v>1.86909090909091</v>
      </c>
      <c r="E31" s="75"/>
      <c r="F31" s="78"/>
      <c r="G31" s="78"/>
      <c r="H31" s="78"/>
      <c r="I31" s="66" t="s">
        <v>99</v>
      </c>
      <c r="J31" s="64"/>
      <c r="K31" s="161">
        <v>3700</v>
      </c>
      <c r="L31" s="114" t="s">
        <v>55</v>
      </c>
      <c r="M31" s="541"/>
      <c r="N31" s="156"/>
    </row>
    <row r="32" ht="18" spans="2:15">
      <c r="B32" s="66" t="s">
        <v>100</v>
      </c>
      <c r="C32" s="64" t="s">
        <v>98</v>
      </c>
      <c r="D32" s="75">
        <v>4.75476999159104</v>
      </c>
      <c r="E32" s="75"/>
      <c r="F32" s="78"/>
      <c r="G32" s="78"/>
      <c r="H32" s="78"/>
      <c r="I32" s="66" t="s">
        <v>453</v>
      </c>
      <c r="J32" s="64"/>
      <c r="K32" s="537">
        <v>3.5</v>
      </c>
      <c r="L32" s="114" t="s">
        <v>59</v>
      </c>
      <c r="M32" s="541"/>
      <c r="N32" s="156"/>
      <c r="O32"/>
    </row>
    <row r="33" ht="16.8" spans="2:15">
      <c r="B33" s="506" t="s">
        <v>455</v>
      </c>
      <c r="C33" s="64" t="s">
        <v>102</v>
      </c>
      <c r="D33" s="69">
        <v>2420</v>
      </c>
      <c r="E33" s="78"/>
      <c r="F33" s="78"/>
      <c r="G33" s="78"/>
      <c r="H33" s="78"/>
      <c r="I33" s="66" t="s">
        <v>105</v>
      </c>
      <c r="J33" s="64"/>
      <c r="K33" s="162">
        <v>6.39</v>
      </c>
      <c r="L33" s="114" t="s">
        <v>59</v>
      </c>
      <c r="M33" s="541"/>
      <c r="N33" s="156" t="s">
        <v>869</v>
      </c>
      <c r="O33"/>
    </row>
    <row r="34" spans="2:14">
      <c r="B34" s="506" t="s">
        <v>104</v>
      </c>
      <c r="C34" s="64" t="s">
        <v>62</v>
      </c>
      <c r="D34" s="80">
        <v>0.44</v>
      </c>
      <c r="E34" s="78"/>
      <c r="F34" s="78"/>
      <c r="G34" s="78"/>
      <c r="H34" s="528"/>
      <c r="I34" s="66" t="s">
        <v>106</v>
      </c>
      <c r="J34" s="64"/>
      <c r="K34" s="162">
        <v>70.77</v>
      </c>
      <c r="L34" s="114" t="s">
        <v>59</v>
      </c>
      <c r="M34" s="541"/>
      <c r="N34" s="156" t="s">
        <v>870</v>
      </c>
    </row>
    <row r="35" ht="16.8" spans="2:14">
      <c r="B35" s="512"/>
      <c r="C35" s="513"/>
      <c r="D35" s="99"/>
      <c r="E35" s="99"/>
      <c r="F35" s="99"/>
      <c r="G35" s="99"/>
      <c r="H35" s="529"/>
      <c r="I35" s="64"/>
      <c r="J35" s="64"/>
      <c r="K35" s="78"/>
      <c r="L35" s="64"/>
      <c r="M35" s="542"/>
      <c r="N35" s="156"/>
    </row>
    <row r="36" ht="17.6" spans="2:14">
      <c r="B36" s="514" t="s">
        <v>231</v>
      </c>
      <c r="C36" s="117"/>
      <c r="D36" s="67"/>
      <c r="E36" s="67"/>
      <c r="F36" s="67"/>
      <c r="G36" s="67"/>
      <c r="H36" s="67"/>
      <c r="I36" s="51" t="s">
        <v>108</v>
      </c>
      <c r="J36" s="140"/>
      <c r="K36" s="140"/>
      <c r="L36" s="152"/>
      <c r="M36" s="542"/>
      <c r="N36" s="156"/>
    </row>
    <row r="37" spans="2:14">
      <c r="B37" s="66"/>
      <c r="C37" s="64"/>
      <c r="D37" s="64"/>
      <c r="E37" s="64"/>
      <c r="F37" s="64"/>
      <c r="G37" s="67"/>
      <c r="H37" s="97"/>
      <c r="I37" s="66"/>
      <c r="J37" s="64" t="s">
        <v>109</v>
      </c>
      <c r="K37" s="78" t="s">
        <v>110</v>
      </c>
      <c r="L37" s="114"/>
      <c r="M37" s="541"/>
      <c r="N37" s="156"/>
    </row>
    <row r="38" spans="2:14">
      <c r="B38" s="85" t="s">
        <v>111</v>
      </c>
      <c r="C38" s="64" t="s">
        <v>59</v>
      </c>
      <c r="D38" s="78">
        <v>53</v>
      </c>
      <c r="E38" s="78"/>
      <c r="F38" s="64"/>
      <c r="G38" s="78"/>
      <c r="H38" s="102"/>
      <c r="I38" s="125" t="s">
        <v>112</v>
      </c>
      <c r="J38" s="64"/>
      <c r="K38" s="64"/>
      <c r="L38" s="114"/>
      <c r="M38" s="541"/>
      <c r="N38" s="156"/>
    </row>
    <row r="39" ht="15" customHeight="1" spans="2:14">
      <c r="B39" s="66"/>
      <c r="C39" s="64"/>
      <c r="D39" s="64"/>
      <c r="E39" s="64"/>
      <c r="F39" s="64"/>
      <c r="G39" s="78"/>
      <c r="H39" s="102"/>
      <c r="I39" s="66"/>
      <c r="J39" s="64" t="s">
        <v>113</v>
      </c>
      <c r="K39" s="172" t="s">
        <v>114</v>
      </c>
      <c r="L39" s="75">
        <v>49.7627864710545</v>
      </c>
      <c r="M39" s="541"/>
      <c r="N39" s="156"/>
    </row>
    <row r="40" ht="18" spans="2:14">
      <c r="B40" s="506"/>
      <c r="C40" s="64"/>
      <c r="D40" s="67" t="s">
        <v>115</v>
      </c>
      <c r="E40" s="67" t="s">
        <v>273</v>
      </c>
      <c r="F40" s="67" t="s">
        <v>315</v>
      </c>
      <c r="G40" s="78"/>
      <c r="H40" s="102"/>
      <c r="I40" s="66"/>
      <c r="J40" s="64" t="s">
        <v>113</v>
      </c>
      <c r="K40" s="78" t="s">
        <v>116</v>
      </c>
      <c r="L40" s="538" t="s">
        <v>117</v>
      </c>
      <c r="M40" s="541"/>
      <c r="N40" s="156"/>
    </row>
    <row r="41" ht="15" customHeight="1" spans="2:14">
      <c r="B41" s="506" t="s">
        <v>118</v>
      </c>
      <c r="C41" s="64"/>
      <c r="D41" s="78" t="s">
        <v>119</v>
      </c>
      <c r="E41" s="78" t="s">
        <v>119</v>
      </c>
      <c r="F41" s="78" t="s">
        <v>119</v>
      </c>
      <c r="G41" s="78"/>
      <c r="H41" s="102"/>
      <c r="I41" s="66"/>
      <c r="J41" s="64" t="s">
        <v>113</v>
      </c>
      <c r="K41" s="78" t="s">
        <v>120</v>
      </c>
      <c r="L41" s="303" t="s">
        <v>117</v>
      </c>
      <c r="M41" s="541"/>
      <c r="N41" s="156"/>
    </row>
    <row r="42" ht="18" spans="2:14">
      <c r="B42" s="506" t="s">
        <v>121</v>
      </c>
      <c r="C42" s="64" t="s">
        <v>122</v>
      </c>
      <c r="D42" s="77">
        <v>190</v>
      </c>
      <c r="E42" s="77">
        <v>210</v>
      </c>
      <c r="F42" s="77">
        <v>190</v>
      </c>
      <c r="G42" s="77"/>
      <c r="H42" s="102"/>
      <c r="I42" s="66"/>
      <c r="J42" s="64" t="s">
        <v>123</v>
      </c>
      <c r="K42" s="172" t="s">
        <v>124</v>
      </c>
      <c r="L42" s="77">
        <v>331.204939233647</v>
      </c>
      <c r="M42" s="541"/>
      <c r="N42" s="156"/>
    </row>
    <row r="43" spans="2:14">
      <c r="B43" s="506" t="s">
        <v>125</v>
      </c>
      <c r="C43" s="64" t="s">
        <v>122</v>
      </c>
      <c r="D43" s="77">
        <f>D42/D44*D45</f>
        <v>214.181818181818</v>
      </c>
      <c r="E43" s="77">
        <v>213</v>
      </c>
      <c r="F43" s="77">
        <v>205</v>
      </c>
      <c r="G43" s="77"/>
      <c r="H43" s="102"/>
      <c r="I43" s="148" t="s">
        <v>126</v>
      </c>
      <c r="J43" s="64"/>
      <c r="K43" s="64"/>
      <c r="L43" s="114"/>
      <c r="M43" s="541"/>
      <c r="N43" s="156"/>
    </row>
    <row r="44" spans="2:14">
      <c r="B44" s="506" t="s">
        <v>127</v>
      </c>
      <c r="C44" s="64" t="s">
        <v>59</v>
      </c>
      <c r="D44" s="78">
        <v>38.5</v>
      </c>
      <c r="E44" s="78">
        <v>40.1</v>
      </c>
      <c r="F44" s="78">
        <v>38.5</v>
      </c>
      <c r="G44" s="78"/>
      <c r="H44" s="102"/>
      <c r="I44" s="64"/>
      <c r="J44" s="64"/>
      <c r="K44" s="78" t="s">
        <v>128</v>
      </c>
      <c r="L44" s="102" t="s">
        <v>129</v>
      </c>
      <c r="M44" s="541"/>
      <c r="N44" s="156"/>
    </row>
    <row r="45" spans="2:14">
      <c r="B45" s="506" t="s">
        <v>130</v>
      </c>
      <c r="C45" s="64" t="s">
        <v>59</v>
      </c>
      <c r="D45" s="78">
        <v>43.4</v>
      </c>
      <c r="E45" s="78">
        <v>40.6</v>
      </c>
      <c r="F45" s="78">
        <v>43.4</v>
      </c>
      <c r="G45" s="78"/>
      <c r="H45" s="102"/>
      <c r="I45" s="66"/>
      <c r="J45" s="64" t="s">
        <v>131</v>
      </c>
      <c r="K45" s="77">
        <v>93.7125296430409</v>
      </c>
      <c r="L45" s="77">
        <v>46.6339660228901</v>
      </c>
      <c r="M45" s="541"/>
      <c r="N45" s="156"/>
    </row>
    <row r="46" spans="2:14">
      <c r="B46" s="506" t="s">
        <v>132</v>
      </c>
      <c r="C46" s="64" t="s">
        <v>62</v>
      </c>
      <c r="D46" s="78" t="s">
        <v>133</v>
      </c>
      <c r="E46" s="78" t="s">
        <v>133</v>
      </c>
      <c r="F46" s="78" t="s">
        <v>133</v>
      </c>
      <c r="G46" s="78"/>
      <c r="H46" s="102"/>
      <c r="I46" s="66"/>
      <c r="J46" s="64" t="s">
        <v>134</v>
      </c>
      <c r="K46" s="77">
        <v>583.425099289866</v>
      </c>
      <c r="L46" s="77">
        <v>290.328586378153</v>
      </c>
      <c r="M46" s="541"/>
      <c r="N46" s="156"/>
    </row>
    <row r="47" spans="2:14">
      <c r="B47" s="506" t="s">
        <v>135</v>
      </c>
      <c r="C47" s="64" t="s">
        <v>240</v>
      </c>
      <c r="D47" s="69">
        <v>8000</v>
      </c>
      <c r="E47" s="69">
        <v>8022</v>
      </c>
      <c r="F47" s="69">
        <v>8346</v>
      </c>
      <c r="G47" s="78"/>
      <c r="H47" s="102"/>
      <c r="I47" s="148" t="s">
        <v>137</v>
      </c>
      <c r="J47" s="64"/>
      <c r="K47" s="64"/>
      <c r="L47" s="114"/>
      <c r="M47" s="541"/>
      <c r="N47" s="156"/>
    </row>
    <row r="48" spans="2:14">
      <c r="B48" s="506" t="s">
        <v>138</v>
      </c>
      <c r="C48" s="64" t="s">
        <v>240</v>
      </c>
      <c r="D48" s="69">
        <v>7580.64736842105</v>
      </c>
      <c r="E48" s="69">
        <v>7477.24285714286</v>
      </c>
      <c r="F48" s="69">
        <v>8083.07894736842</v>
      </c>
      <c r="G48" s="69"/>
      <c r="H48" s="98"/>
      <c r="I48" s="66"/>
      <c r="J48" s="64" t="s">
        <v>139</v>
      </c>
      <c r="K48" s="69">
        <v>12455.695890411</v>
      </c>
      <c r="L48" s="98"/>
      <c r="M48" s="541"/>
      <c r="N48" s="156"/>
    </row>
    <row r="49" spans="2:14">
      <c r="B49" s="506" t="s">
        <v>140</v>
      </c>
      <c r="C49" s="64" t="s">
        <v>59</v>
      </c>
      <c r="D49" s="75">
        <v>86.5370704157654</v>
      </c>
      <c r="E49" s="75">
        <v>85.3566536203522</v>
      </c>
      <c r="F49" s="75">
        <v>92.2725907233838</v>
      </c>
      <c r="G49" s="69"/>
      <c r="H49" s="98"/>
      <c r="I49" s="66"/>
      <c r="J49" s="64" t="s">
        <v>141</v>
      </c>
      <c r="K49" s="69">
        <v>189.832741314611</v>
      </c>
      <c r="L49" s="114"/>
      <c r="M49" s="541"/>
      <c r="N49" s="156"/>
    </row>
    <row r="50" spans="2:14">
      <c r="B50" s="66"/>
      <c r="C50" s="64"/>
      <c r="D50" s="64"/>
      <c r="E50" s="64"/>
      <c r="F50" s="64"/>
      <c r="G50" s="78"/>
      <c r="H50" s="102"/>
      <c r="I50" s="65"/>
      <c r="J50" s="64"/>
      <c r="K50" s="78"/>
      <c r="L50" s="114"/>
      <c r="M50" s="156"/>
      <c r="N50" s="156"/>
    </row>
    <row r="51" spans="2:14">
      <c r="B51" s="515" t="s">
        <v>142</v>
      </c>
      <c r="C51" s="94"/>
      <c r="D51" s="94"/>
      <c r="E51" s="94"/>
      <c r="F51" s="94"/>
      <c r="G51" s="99"/>
      <c r="H51" s="109"/>
      <c r="I51" s="66"/>
      <c r="J51" s="64"/>
      <c r="K51" s="78"/>
      <c r="L51" s="114"/>
      <c r="M51" s="156"/>
      <c r="N51" s="156"/>
    </row>
    <row r="52" ht="17.6" spans="2:14">
      <c r="B52" s="516" t="s">
        <v>143</v>
      </c>
      <c r="C52" s="65"/>
      <c r="D52" s="64"/>
      <c r="E52" s="64"/>
      <c r="F52" s="64"/>
      <c r="G52" s="110" t="s">
        <v>144</v>
      </c>
      <c r="H52" s="530"/>
      <c r="I52" s="140"/>
      <c r="J52" s="140"/>
      <c r="K52" s="140"/>
      <c r="L52" s="152"/>
      <c r="M52" s="156"/>
      <c r="N52" s="156"/>
    </row>
    <row r="53" ht="17.6" spans="2:14">
      <c r="B53" s="516"/>
      <c r="C53" s="91" t="s">
        <v>145</v>
      </c>
      <c r="D53" s="92"/>
      <c r="E53" s="92"/>
      <c r="F53" s="64"/>
      <c r="G53" s="64"/>
      <c r="H53" s="64"/>
      <c r="I53" s="539" t="s">
        <v>145</v>
      </c>
      <c r="J53" s="64"/>
      <c r="K53" s="64"/>
      <c r="L53" s="114"/>
      <c r="M53" s="156"/>
      <c r="N53" s="156"/>
    </row>
    <row r="54" spans="2:14">
      <c r="B54" s="506" t="s">
        <v>464</v>
      </c>
      <c r="C54" s="93">
        <v>260717</v>
      </c>
      <c r="D54" s="517">
        <v>5.7</v>
      </c>
      <c r="E54" s="111" t="s">
        <v>147</v>
      </c>
      <c r="F54" s="64"/>
      <c r="G54" s="64" t="s">
        <v>465</v>
      </c>
      <c r="H54" s="64"/>
      <c r="I54" s="161">
        <v>1060170</v>
      </c>
      <c r="J54" s="540">
        <v>22</v>
      </c>
      <c r="K54" s="111" t="s">
        <v>149</v>
      </c>
      <c r="L54" s="114"/>
      <c r="M54" s="156"/>
      <c r="N54" s="156"/>
    </row>
    <row r="55" spans="2:14">
      <c r="B55" s="66" t="s">
        <v>871</v>
      </c>
      <c r="C55" s="93">
        <v>89890.5</v>
      </c>
      <c r="D55" s="517">
        <v>2</v>
      </c>
      <c r="E55" s="111" t="s">
        <v>147</v>
      </c>
      <c r="F55" s="64"/>
      <c r="G55" s="64" t="s">
        <v>467</v>
      </c>
      <c r="H55" s="64"/>
      <c r="I55" s="92">
        <v>1099010</v>
      </c>
      <c r="J55" s="540">
        <v>23</v>
      </c>
      <c r="K55" s="111" t="s">
        <v>149</v>
      </c>
      <c r="L55" s="114"/>
      <c r="M55" s="156"/>
      <c r="N55" s="156"/>
    </row>
    <row r="56" spans="2:14">
      <c r="B56" s="66" t="s">
        <v>872</v>
      </c>
      <c r="C56" s="93">
        <v>170826.5</v>
      </c>
      <c r="D56" s="517">
        <v>3.8</v>
      </c>
      <c r="E56" s="111" t="s">
        <v>147</v>
      </c>
      <c r="F56" s="64"/>
      <c r="G56" s="64" t="s">
        <v>469</v>
      </c>
      <c r="H56" s="64"/>
      <c r="I56" s="92">
        <v>833582</v>
      </c>
      <c r="J56" s="540">
        <v>17</v>
      </c>
      <c r="K56" s="111" t="s">
        <v>149</v>
      </c>
      <c r="L56" s="114"/>
      <c r="M56" s="156"/>
      <c r="N56" s="156"/>
    </row>
    <row r="57" spans="2:14">
      <c r="B57" s="518"/>
      <c r="C57" s="94"/>
      <c r="D57" s="94"/>
      <c r="E57" s="94"/>
      <c r="F57" s="94"/>
      <c r="G57" s="94"/>
      <c r="H57" s="94"/>
      <c r="I57" s="94"/>
      <c r="J57" s="94"/>
      <c r="K57" s="94"/>
      <c r="L57" s="115"/>
      <c r="M57" s="156"/>
      <c r="N57" s="156"/>
    </row>
    <row r="59" spans="3:3">
      <c r="C59" s="501" t="s">
        <v>77</v>
      </c>
    </row>
    <row r="60" spans="8:8">
      <c r="H60" s="501" t="s">
        <v>102</v>
      </c>
    </row>
    <row r="61" spans="8:8">
      <c r="H61" s="501" t="s">
        <v>455</v>
      </c>
    </row>
    <row r="62" ht="16.8" spans="2:11">
      <c r="B62" s="519">
        <v>1960</v>
      </c>
      <c r="C62" s="520">
        <v>43025</v>
      </c>
      <c r="D62" s="521"/>
      <c r="E62" s="521" t="s">
        <v>873</v>
      </c>
      <c r="F62" s="521" t="s">
        <v>874</v>
      </c>
      <c r="H62" s="531">
        <v>2242.83783800259</v>
      </c>
      <c r="K62" s="501" t="s">
        <v>77</v>
      </c>
    </row>
    <row r="63" ht="16.8" spans="2:8">
      <c r="B63" s="519">
        <v>2054</v>
      </c>
      <c r="C63" s="520">
        <v>43041</v>
      </c>
      <c r="D63" s="521"/>
      <c r="E63" s="521" t="s">
        <v>873</v>
      </c>
      <c r="F63" s="521" t="s">
        <v>874</v>
      </c>
      <c r="H63" s="531">
        <v>232.494860655478</v>
      </c>
    </row>
    <row r="64" ht="16.8" spans="2:8">
      <c r="B64" s="519">
        <v>2202</v>
      </c>
      <c r="C64" s="520">
        <v>43081</v>
      </c>
      <c r="D64" s="521"/>
      <c r="E64" s="521" t="s">
        <v>875</v>
      </c>
      <c r="F64" s="521" t="s">
        <v>874</v>
      </c>
      <c r="H64" s="531">
        <v>1322.28522276206</v>
      </c>
    </row>
    <row r="65" ht="16.8" spans="2:8">
      <c r="B65" s="543">
        <v>22</v>
      </c>
      <c r="C65" s="520">
        <v>43109</v>
      </c>
      <c r="D65" s="521"/>
      <c r="E65" s="521" t="s">
        <v>873</v>
      </c>
      <c r="F65" s="521" t="s">
        <v>874</v>
      </c>
      <c r="H65" s="531">
        <v>2720.37342424343</v>
      </c>
    </row>
    <row r="66" ht="16.8" spans="2:8">
      <c r="B66" s="543">
        <v>106</v>
      </c>
      <c r="C66" s="520">
        <v>43132</v>
      </c>
      <c r="D66" s="521"/>
      <c r="E66" s="521" t="s">
        <v>873</v>
      </c>
      <c r="F66" s="521" t="s">
        <v>874</v>
      </c>
      <c r="H66" s="531">
        <v>858.427181972202</v>
      </c>
    </row>
    <row r="67" ht="16.8" spans="2:8">
      <c r="B67" s="543">
        <v>347</v>
      </c>
      <c r="C67" s="520">
        <v>43165</v>
      </c>
      <c r="D67" s="521"/>
      <c r="E67" s="521" t="s">
        <v>873</v>
      </c>
      <c r="F67" s="521" t="s">
        <v>874</v>
      </c>
      <c r="H67" s="531">
        <v>298.375597742633</v>
      </c>
    </row>
    <row r="68" ht="16.8" spans="2:8">
      <c r="B68" s="543">
        <v>503</v>
      </c>
      <c r="C68" s="520">
        <v>43194</v>
      </c>
      <c r="D68" s="521"/>
      <c r="E68" s="521" t="s">
        <v>873</v>
      </c>
      <c r="F68" s="521" t="s">
        <v>874</v>
      </c>
      <c r="H68" s="531">
        <v>310.305291531526</v>
      </c>
    </row>
    <row r="69" ht="16.8" spans="2:8">
      <c r="B69" s="543">
        <v>741</v>
      </c>
      <c r="C69" s="520">
        <v>43236</v>
      </c>
      <c r="D69" s="521"/>
      <c r="E69" s="521" t="s">
        <v>873</v>
      </c>
      <c r="F69" s="521" t="s">
        <v>874</v>
      </c>
      <c r="H69" s="531">
        <v>5873.88882997155</v>
      </c>
    </row>
    <row r="70" ht="16.8" spans="2:8">
      <c r="B70" s="543">
        <v>834</v>
      </c>
      <c r="C70" s="520">
        <v>43257</v>
      </c>
      <c r="D70" s="521"/>
      <c r="E70" s="521" t="s">
        <v>873</v>
      </c>
      <c r="F70" s="521" t="s">
        <v>874</v>
      </c>
      <c r="H70" s="531">
        <v>231.42679343741</v>
      </c>
    </row>
    <row r="71" ht="16.8" spans="2:8">
      <c r="B71" s="543">
        <v>1028</v>
      </c>
      <c r="C71" s="520">
        <v>43292</v>
      </c>
      <c r="D71" s="521"/>
      <c r="E71" s="521" t="s">
        <v>873</v>
      </c>
      <c r="F71" s="521" t="s">
        <v>874</v>
      </c>
      <c r="H71" s="531">
        <v>10792.7831329015</v>
      </c>
    </row>
    <row r="72" ht="16.8" spans="2:8">
      <c r="B72" s="543">
        <v>1467</v>
      </c>
      <c r="C72" s="520">
        <v>43374</v>
      </c>
      <c r="D72" s="521"/>
      <c r="E72" s="521" t="s">
        <v>873</v>
      </c>
      <c r="F72" s="521" t="s">
        <v>874</v>
      </c>
      <c r="H72" s="531">
        <v>1784.29652388981</v>
      </c>
    </row>
  </sheetData>
  <mergeCells count="1">
    <mergeCell ref="B2:L2"/>
  </mergeCells>
  <dataValidations count="1">
    <dataValidation type="list" allowBlank="1" showInputMessage="1" showErrorMessage="1" sqref="D62:E72">
      <formula1>#REF!</formula1>
    </dataValidation>
  </dataValidations>
  <pageMargins left="0.7" right="0.7" top="0.787401575" bottom="0.7874015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N69"/>
  <sheetViews>
    <sheetView zoomScale="85" zoomScaleNormal="85" workbookViewId="0">
      <selection activeCell="A1" sqref="A1"/>
    </sheetView>
  </sheetViews>
  <sheetFormatPr defaultColWidth="11.5" defaultRowHeight="16.8"/>
  <cols>
    <col min="1" max="4" width="11.5" style="458"/>
    <col min="5" max="5" width="14.8365384615385" style="458" customWidth="1"/>
    <col min="6" max="6" width="14.5" style="458" customWidth="1"/>
    <col min="7" max="12" width="11.5" style="458"/>
  </cols>
  <sheetData>
    <row r="1" spans="1:1">
      <c r="A1" s="243" t="s">
        <v>830</v>
      </c>
    </row>
    <row r="2" ht="34" spans="1:8">
      <c r="A2" s="458" t="s">
        <v>154</v>
      </c>
      <c r="B2" s="459" t="s">
        <v>155</v>
      </c>
      <c r="C2" s="244" t="s">
        <v>155</v>
      </c>
      <c r="D2" s="459" t="s">
        <v>372</v>
      </c>
      <c r="E2" s="48" t="s">
        <v>58</v>
      </c>
      <c r="F2" s="458" t="s">
        <v>157</v>
      </c>
      <c r="G2" s="459" t="s">
        <v>661</v>
      </c>
      <c r="H2" s="458" t="s">
        <v>386</v>
      </c>
    </row>
    <row r="3" spans="1:8">
      <c r="A3" s="460"/>
      <c r="B3" s="460" t="s">
        <v>59</v>
      </c>
      <c r="C3" s="460" t="s">
        <v>59</v>
      </c>
      <c r="D3" s="460" t="s">
        <v>59</v>
      </c>
      <c r="E3" s="460" t="s">
        <v>59</v>
      </c>
      <c r="F3" s="460" t="s">
        <v>59</v>
      </c>
      <c r="G3" s="460" t="s">
        <v>56</v>
      </c>
      <c r="H3" s="460"/>
    </row>
    <row r="4" spans="1:8">
      <c r="A4" s="461">
        <v>43009</v>
      </c>
      <c r="B4" s="462">
        <v>73.198143171268</v>
      </c>
      <c r="C4" s="462">
        <v>0</v>
      </c>
      <c r="D4" s="462">
        <v>3.88468116296115</v>
      </c>
      <c r="E4" s="462">
        <v>22.9171756657708</v>
      </c>
      <c r="F4" s="462">
        <v>0</v>
      </c>
      <c r="G4" s="462">
        <v>66.0161290322581</v>
      </c>
      <c r="H4" s="465">
        <f t="shared" ref="H4:H16" si="0">SUM(B4:F4)</f>
        <v>100</v>
      </c>
    </row>
    <row r="5" spans="1:8">
      <c r="A5" s="461">
        <v>43040</v>
      </c>
      <c r="B5" s="462">
        <v>77.3718647764449</v>
      </c>
      <c r="C5" s="462">
        <v>0</v>
      </c>
      <c r="D5" s="462">
        <v>3.16248636859324</v>
      </c>
      <c r="E5" s="462">
        <v>18.8113413304253</v>
      </c>
      <c r="F5" s="462">
        <v>0.654307524536532</v>
      </c>
      <c r="G5" s="462">
        <v>61.1333333333333</v>
      </c>
      <c r="H5" s="465">
        <f t="shared" si="0"/>
        <v>100</v>
      </c>
    </row>
    <row r="6" spans="1:8">
      <c r="A6" s="461">
        <v>43070</v>
      </c>
      <c r="B6" s="462">
        <v>73.7098344693281</v>
      </c>
      <c r="C6" s="462">
        <v>0</v>
      </c>
      <c r="D6" s="462">
        <v>3.79746835443038</v>
      </c>
      <c r="E6" s="462">
        <v>21.1295034079844</v>
      </c>
      <c r="F6" s="462">
        <v>1.36319376825706</v>
      </c>
      <c r="G6" s="462">
        <v>66.258064516129</v>
      </c>
      <c r="H6" s="465">
        <f t="shared" si="0"/>
        <v>100</v>
      </c>
    </row>
    <row r="7" spans="1:8">
      <c r="A7" s="461">
        <v>43101</v>
      </c>
      <c r="B7" s="462">
        <v>74.8450129482853</v>
      </c>
      <c r="C7" s="462">
        <v>0.70528917837244</v>
      </c>
      <c r="D7" s="462">
        <v>3.62944361610296</v>
      </c>
      <c r="E7" s="462">
        <v>19.3979047320097</v>
      </c>
      <c r="F7" s="462">
        <v>1.42234952522954</v>
      </c>
      <c r="G7" s="462">
        <v>65.7703225806452</v>
      </c>
      <c r="H7" s="465">
        <f t="shared" si="0"/>
        <v>100</v>
      </c>
    </row>
    <row r="8" spans="1:8">
      <c r="A8" s="461">
        <v>43132</v>
      </c>
      <c r="B8" s="462">
        <v>71.2514092446449</v>
      </c>
      <c r="C8" s="462">
        <v>5.12965050732807</v>
      </c>
      <c r="D8" s="462">
        <v>3.88951521984216</v>
      </c>
      <c r="E8" s="462">
        <v>18.3201803833145</v>
      </c>
      <c r="F8" s="462">
        <v>1.40924464487035</v>
      </c>
      <c r="G8" s="462">
        <v>63.3571428571429</v>
      </c>
      <c r="H8" s="465">
        <f t="shared" si="0"/>
        <v>100</v>
      </c>
    </row>
    <row r="9" spans="1:8">
      <c r="A9" s="461">
        <v>43160</v>
      </c>
      <c r="B9" s="462">
        <v>73.8121015277277</v>
      </c>
      <c r="C9" s="462">
        <v>3.07951401419463</v>
      </c>
      <c r="D9" s="462">
        <v>4.43883074702274</v>
      </c>
      <c r="E9" s="462">
        <v>17.1779141104294</v>
      </c>
      <c r="F9" s="462">
        <v>1.49163960062553</v>
      </c>
      <c r="G9" s="462">
        <v>67.0403225806452</v>
      </c>
      <c r="H9" s="465">
        <f t="shared" si="0"/>
        <v>100</v>
      </c>
    </row>
    <row r="10" spans="1:8">
      <c r="A10" s="461">
        <v>43191</v>
      </c>
      <c r="B10" s="462">
        <v>71.9251977942939</v>
      </c>
      <c r="C10" s="462">
        <v>5.75401582354351</v>
      </c>
      <c r="D10" s="462">
        <v>4.29153680172621</v>
      </c>
      <c r="E10" s="462">
        <v>17.2620474706305</v>
      </c>
      <c r="F10" s="462">
        <v>0.767202109805802</v>
      </c>
      <c r="G10" s="462">
        <v>69.5166666666667</v>
      </c>
      <c r="H10" s="465">
        <f t="shared" si="0"/>
        <v>100</v>
      </c>
    </row>
    <row r="11" spans="1:8">
      <c r="A11" s="461">
        <v>43221</v>
      </c>
      <c r="B11" s="462">
        <v>78.5106871983452</v>
      </c>
      <c r="C11" s="462">
        <v>0</v>
      </c>
      <c r="D11" s="462">
        <v>3.90714778211905</v>
      </c>
      <c r="E11" s="462">
        <v>17.1454837968283</v>
      </c>
      <c r="F11" s="462">
        <v>0.436681222707424</v>
      </c>
      <c r="G11" s="462">
        <v>70.1774193548387</v>
      </c>
      <c r="H11" s="465">
        <f t="shared" si="0"/>
        <v>100</v>
      </c>
    </row>
    <row r="12" spans="1:8">
      <c r="A12" s="461">
        <v>43252</v>
      </c>
      <c r="B12" s="462">
        <v>79.0842872008325</v>
      </c>
      <c r="C12" s="462">
        <v>0</v>
      </c>
      <c r="D12" s="462">
        <v>3.43392299687825</v>
      </c>
      <c r="E12" s="462">
        <v>17.4817898022893</v>
      </c>
      <c r="F12" s="462">
        <v>0</v>
      </c>
      <c r="G12" s="462">
        <v>64.0666666666667</v>
      </c>
      <c r="H12" s="465">
        <f t="shared" si="0"/>
        <v>100</v>
      </c>
    </row>
    <row r="13" spans="1:8">
      <c r="A13" s="461">
        <v>43282</v>
      </c>
      <c r="B13" s="462">
        <v>76.4869888475836</v>
      </c>
      <c r="C13" s="462">
        <v>0.371747211895911</v>
      </c>
      <c r="D13" s="462">
        <v>4.87918215613383</v>
      </c>
      <c r="E13" s="462">
        <v>18.2620817843866</v>
      </c>
      <c r="F13" s="462">
        <v>0</v>
      </c>
      <c r="G13" s="462">
        <v>69.4193548387097</v>
      </c>
      <c r="H13" s="465">
        <f t="shared" si="0"/>
        <v>100</v>
      </c>
    </row>
    <row r="14" spans="1:8">
      <c r="A14" s="461">
        <v>43313</v>
      </c>
      <c r="B14" s="462">
        <v>89.6378830083565</v>
      </c>
      <c r="C14" s="462">
        <v>0</v>
      </c>
      <c r="D14" s="462">
        <v>2.61838440111421</v>
      </c>
      <c r="E14" s="462">
        <v>7.74373259052925</v>
      </c>
      <c r="F14" s="462">
        <v>0</v>
      </c>
      <c r="G14" s="462">
        <v>57.9032258064516</v>
      </c>
      <c r="H14" s="465">
        <f t="shared" si="0"/>
        <v>100</v>
      </c>
    </row>
    <row r="15" spans="1:8">
      <c r="A15" s="463">
        <v>43344</v>
      </c>
      <c r="B15" s="464">
        <v>73.187860546777</v>
      </c>
      <c r="C15" s="464">
        <v>5.26711813393529</v>
      </c>
      <c r="D15" s="464">
        <v>3.93779784298972</v>
      </c>
      <c r="E15" s="464">
        <v>17.607223476298</v>
      </c>
      <c r="F15" s="464">
        <v>0</v>
      </c>
      <c r="G15" s="464">
        <v>66.45</v>
      </c>
      <c r="H15" s="471">
        <f t="shared" si="0"/>
        <v>100</v>
      </c>
    </row>
    <row r="16" ht="34" spans="1:8">
      <c r="A16" s="459" t="s">
        <v>831</v>
      </c>
      <c r="B16" s="465">
        <f t="shared" ref="B16:G16" si="1">AVERAGE(B4:B15)</f>
        <v>76.0851058944907</v>
      </c>
      <c r="C16" s="465">
        <f t="shared" si="1"/>
        <v>1.69227790577249</v>
      </c>
      <c r="D16" s="465">
        <f t="shared" si="1"/>
        <v>3.82253312082616</v>
      </c>
      <c r="E16" s="465">
        <f t="shared" si="1"/>
        <v>17.7713648792414</v>
      </c>
      <c r="F16" s="465">
        <f t="shared" si="1"/>
        <v>0.628718199669352</v>
      </c>
      <c r="G16" s="465">
        <f t="shared" si="1"/>
        <v>65.5923873527906</v>
      </c>
      <c r="H16" s="465">
        <f t="shared" si="0"/>
        <v>100</v>
      </c>
    </row>
    <row r="23" spans="4:5">
      <c r="D23" s="458" t="s">
        <v>104</v>
      </c>
      <c r="E23" s="458" t="s">
        <v>259</v>
      </c>
    </row>
    <row r="24" ht="34" spans="4:6">
      <c r="D24" s="460"/>
      <c r="E24" s="260" t="s">
        <v>475</v>
      </c>
      <c r="F24" s="260"/>
    </row>
    <row r="25" spans="4:6">
      <c r="D25" s="461">
        <v>43009</v>
      </c>
      <c r="E25" s="472">
        <v>0.410031225176279</v>
      </c>
      <c r="F25" s="261"/>
    </row>
    <row r="26" spans="4:6">
      <c r="D26" s="461">
        <v>43040</v>
      </c>
      <c r="E26" s="472">
        <v>0.13899766227768</v>
      </c>
      <c r="F26" s="261"/>
    </row>
    <row r="27" spans="4:6">
      <c r="D27" s="461">
        <v>43070</v>
      </c>
      <c r="E27" s="472">
        <v>0.247344595300553</v>
      </c>
      <c r="F27" s="261"/>
    </row>
    <row r="28" spans="4:7">
      <c r="D28" s="461">
        <v>43101</v>
      </c>
      <c r="E28" s="472">
        <v>0.449682199730586</v>
      </c>
      <c r="F28" s="261"/>
      <c r="G28" t="s">
        <v>77</v>
      </c>
    </row>
    <row r="29" spans="4:6">
      <c r="D29" s="461">
        <v>43132</v>
      </c>
      <c r="E29" s="472">
        <v>0.17422936891274</v>
      </c>
      <c r="F29" s="261"/>
    </row>
    <row r="30" spans="4:14">
      <c r="D30" s="461">
        <v>43160</v>
      </c>
      <c r="E30" s="472">
        <v>0.154888586423783</v>
      </c>
      <c r="F30" s="261"/>
      <c r="N30" t="s">
        <v>77</v>
      </c>
    </row>
    <row r="31" spans="4:6">
      <c r="D31" s="461">
        <v>43191</v>
      </c>
      <c r="E31" s="472">
        <v>0.184178034653273</v>
      </c>
      <c r="F31" s="261"/>
    </row>
    <row r="32" spans="4:6">
      <c r="D32" s="461">
        <v>43221</v>
      </c>
      <c r="E32" s="472">
        <v>0.741619829972781</v>
      </c>
      <c r="F32" s="261"/>
    </row>
    <row r="33" spans="4:6">
      <c r="D33" s="461">
        <v>43252</v>
      </c>
      <c r="E33" s="472">
        <v>0.156502966475308</v>
      </c>
      <c r="F33" s="261"/>
    </row>
    <row r="34" spans="4:6">
      <c r="D34" s="461">
        <v>43282</v>
      </c>
      <c r="E34" s="472">
        <v>0.484923008812025</v>
      </c>
      <c r="F34" s="261"/>
    </row>
    <row r="35" spans="4:6">
      <c r="D35" s="461">
        <v>43313</v>
      </c>
      <c r="E35" s="472">
        <v>0</v>
      </c>
      <c r="F35" s="261"/>
    </row>
    <row r="36" spans="4:6">
      <c r="D36" s="463">
        <v>43344</v>
      </c>
      <c r="E36" s="472">
        <v>0.313816655136661</v>
      </c>
      <c r="F36" s="262"/>
    </row>
    <row r="37" ht="17.55" spans="4:9">
      <c r="D37" s="248"/>
      <c r="E37" s="248">
        <f>AVERAGE(E25:E36)</f>
        <v>0.288017844405973</v>
      </c>
      <c r="F37" s="248"/>
      <c r="I37" t="s">
        <v>77</v>
      </c>
    </row>
    <row r="38" ht="17.55"/>
    <row r="41" s="242" customFormat="1" ht="72" spans="1:12">
      <c r="A41" s="250" t="s">
        <v>154</v>
      </c>
      <c r="B41" s="249" t="s">
        <v>393</v>
      </c>
      <c r="C41" s="249" t="s">
        <v>394</v>
      </c>
      <c r="D41" s="249" t="s">
        <v>395</v>
      </c>
      <c r="E41" s="249" t="s">
        <v>396</v>
      </c>
      <c r="F41" s="249" t="s">
        <v>183</v>
      </c>
      <c r="G41" s="249" t="s">
        <v>184</v>
      </c>
      <c r="H41" s="249" t="s">
        <v>397</v>
      </c>
      <c r="I41" s="249" t="s">
        <v>398</v>
      </c>
      <c r="J41" s="249" t="s">
        <v>832</v>
      </c>
      <c r="K41" s="249" t="s">
        <v>400</v>
      </c>
      <c r="L41" s="249" t="s">
        <v>401</v>
      </c>
    </row>
    <row r="42" s="242" customFormat="1" ht="15.2" spans="2:12">
      <c r="B42" s="250" t="s">
        <v>185</v>
      </c>
      <c r="C42" s="250" t="s">
        <v>185</v>
      </c>
      <c r="D42" s="250" t="s">
        <v>185</v>
      </c>
      <c r="E42" s="250" t="s">
        <v>185</v>
      </c>
      <c r="F42" s="250" t="s">
        <v>59</v>
      </c>
      <c r="G42" s="250" t="s">
        <v>402</v>
      </c>
      <c r="H42" s="250" t="s">
        <v>185</v>
      </c>
      <c r="I42" s="250" t="s">
        <v>403</v>
      </c>
      <c r="J42" s="250" t="s">
        <v>404</v>
      </c>
      <c r="K42" s="250" t="s">
        <v>122</v>
      </c>
      <c r="L42" s="250" t="s">
        <v>122</v>
      </c>
    </row>
    <row r="43" ht="16.5" customHeight="1" spans="1:12">
      <c r="A43" s="461">
        <f t="shared" ref="A43:A54" si="2">A4</f>
        <v>43009</v>
      </c>
      <c r="B43" s="466">
        <v>420065</v>
      </c>
      <c r="C43" s="466">
        <v>449367.792481203</v>
      </c>
      <c r="D43" s="466">
        <v>193370.999999999</v>
      </c>
      <c r="E43" s="466">
        <v>258370.999999999</v>
      </c>
      <c r="F43" s="264">
        <v>95.6955075633315</v>
      </c>
      <c r="G43" s="264">
        <v>40.5482870779853</v>
      </c>
      <c r="H43" s="473">
        <v>0.54178245345094</v>
      </c>
      <c r="I43" s="458">
        <v>31</v>
      </c>
      <c r="J43" s="458">
        <v>744</v>
      </c>
      <c r="K43" s="487">
        <v>590</v>
      </c>
      <c r="L43" s="487">
        <v>640.982090228973</v>
      </c>
    </row>
    <row r="44" spans="1:12">
      <c r="A44" s="461">
        <f t="shared" si="2"/>
        <v>43040</v>
      </c>
      <c r="B44" s="466">
        <v>329586</v>
      </c>
      <c r="C44" s="466">
        <v>355923.690225564</v>
      </c>
      <c r="D44" s="466">
        <v>159549.000000001</v>
      </c>
      <c r="E44" s="466">
        <v>258249.000000001</v>
      </c>
      <c r="F44" s="264">
        <v>77.5861581920904</v>
      </c>
      <c r="G44" s="264">
        <v>34.5712987478598</v>
      </c>
      <c r="H44" s="474">
        <v>0.559577517272814</v>
      </c>
      <c r="I44" s="458">
        <v>30</v>
      </c>
      <c r="J44" s="458">
        <v>720</v>
      </c>
      <c r="K44" s="487">
        <v>590</v>
      </c>
      <c r="L44" s="487">
        <v>640.982090228973</v>
      </c>
    </row>
    <row r="45" spans="1:12">
      <c r="A45" s="461">
        <f t="shared" si="2"/>
        <v>43070</v>
      </c>
      <c r="B45" s="466">
        <v>415873</v>
      </c>
      <c r="C45" s="466">
        <v>445982.820300752</v>
      </c>
      <c r="D45" s="466">
        <v>105880.999999999</v>
      </c>
      <c r="E45" s="466">
        <v>261241</v>
      </c>
      <c r="F45" s="264">
        <v>94.7405230544924</v>
      </c>
      <c r="G45" s="264">
        <v>22.2023632504572</v>
      </c>
      <c r="H45" s="474">
        <v>0.547800604255033</v>
      </c>
      <c r="I45" s="458">
        <v>31</v>
      </c>
      <c r="J45" s="458">
        <v>744</v>
      </c>
      <c r="K45" s="487">
        <v>590</v>
      </c>
      <c r="L45" s="487">
        <v>640.982090228973</v>
      </c>
    </row>
    <row r="46" spans="1:12">
      <c r="A46" s="461">
        <f t="shared" si="2"/>
        <v>43101</v>
      </c>
      <c r="B46" s="466">
        <v>426963</v>
      </c>
      <c r="C46" s="466">
        <v>457129</v>
      </c>
      <c r="D46" s="466">
        <v>177968.960264901</v>
      </c>
      <c r="E46" s="466">
        <v>309178.960264901</v>
      </c>
      <c r="F46" s="264">
        <v>97.2669491525424</v>
      </c>
      <c r="G46" s="264">
        <v>37.3186077115586</v>
      </c>
      <c r="H46" s="474">
        <v>0.648322511612097</v>
      </c>
      <c r="I46" s="458">
        <v>31</v>
      </c>
      <c r="J46" s="458">
        <v>744</v>
      </c>
      <c r="K46" s="487">
        <v>590</v>
      </c>
      <c r="L46" s="487">
        <v>640.982090228973</v>
      </c>
    </row>
    <row r="47" spans="1:12">
      <c r="A47" s="461">
        <f t="shared" si="2"/>
        <v>43132</v>
      </c>
      <c r="B47" s="466">
        <v>385501</v>
      </c>
      <c r="C47" s="466">
        <v>412664.021052632</v>
      </c>
      <c r="D47" s="466">
        <v>158588.609271523</v>
      </c>
      <c r="E47" s="466">
        <v>268588.609271523</v>
      </c>
      <c r="F47" s="264">
        <v>97.2308817594835</v>
      </c>
      <c r="G47" s="264">
        <v>36.8177142342304</v>
      </c>
      <c r="H47" s="474">
        <v>0.623551635149119</v>
      </c>
      <c r="I47" s="458">
        <v>28</v>
      </c>
      <c r="J47" s="458">
        <v>672</v>
      </c>
      <c r="K47" s="487">
        <v>590</v>
      </c>
      <c r="L47" s="487">
        <v>640.982090228973</v>
      </c>
    </row>
    <row r="48" spans="1:12">
      <c r="A48" s="461">
        <f t="shared" si="2"/>
        <v>43160</v>
      </c>
      <c r="B48" s="466">
        <v>432448</v>
      </c>
      <c r="C48" s="466">
        <v>463083.12406015</v>
      </c>
      <c r="D48" s="466">
        <v>169115.960264901</v>
      </c>
      <c r="E48" s="466">
        <v>290115.960264901</v>
      </c>
      <c r="F48" s="264">
        <v>98.5164935301622</v>
      </c>
      <c r="G48" s="264">
        <v>35.4622073955784</v>
      </c>
      <c r="H48" s="474">
        <v>0.608348989389652</v>
      </c>
      <c r="I48" s="458">
        <v>31</v>
      </c>
      <c r="J48" s="458">
        <v>744</v>
      </c>
      <c r="K48" s="487">
        <v>590</v>
      </c>
      <c r="L48" s="487">
        <v>640.982090228973</v>
      </c>
    </row>
    <row r="49" spans="1:12">
      <c r="A49" s="461">
        <f t="shared" si="2"/>
        <v>43191</v>
      </c>
      <c r="B49" s="466">
        <v>413886</v>
      </c>
      <c r="C49" s="466">
        <v>443589.578195489</v>
      </c>
      <c r="D49" s="466">
        <v>112511.54272066</v>
      </c>
      <c r="E49" s="466">
        <v>198906.624687873</v>
      </c>
      <c r="F49" s="264">
        <v>97.430790960452</v>
      </c>
      <c r="G49" s="264">
        <v>24.3791572242917</v>
      </c>
      <c r="H49" s="474">
        <v>0.430993634871598</v>
      </c>
      <c r="I49" s="458">
        <v>30</v>
      </c>
      <c r="J49" s="458">
        <v>720</v>
      </c>
      <c r="K49" s="487">
        <v>590</v>
      </c>
      <c r="L49" s="487">
        <v>640.982090228973</v>
      </c>
    </row>
    <row r="50" spans="1:12">
      <c r="A50" s="461">
        <f t="shared" si="2"/>
        <v>43221</v>
      </c>
      <c r="B50" s="466">
        <v>384748</v>
      </c>
      <c r="C50" s="466">
        <v>412246.397744361</v>
      </c>
      <c r="D50" s="466">
        <v>116261.927478015</v>
      </c>
      <c r="E50" s="466">
        <v>205536.845510802</v>
      </c>
      <c r="F50" s="264">
        <v>87.6498997630763</v>
      </c>
      <c r="G50" s="264">
        <v>24.3791572242917</v>
      </c>
      <c r="H50" s="474">
        <v>0.430993634871598</v>
      </c>
      <c r="I50" s="458">
        <v>31</v>
      </c>
      <c r="J50" s="458">
        <v>744</v>
      </c>
      <c r="K50" s="487">
        <v>590</v>
      </c>
      <c r="L50" s="487">
        <v>640.982090228973</v>
      </c>
    </row>
    <row r="51" spans="1:12">
      <c r="A51" s="461">
        <f t="shared" si="2"/>
        <v>43252</v>
      </c>
      <c r="B51" s="466">
        <v>383671</v>
      </c>
      <c r="C51" s="466">
        <v>410954.577443609</v>
      </c>
      <c r="D51" s="466">
        <v>212253</v>
      </c>
      <c r="E51" s="466">
        <v>259433</v>
      </c>
      <c r="F51" s="264">
        <v>90.3180320150659</v>
      </c>
      <c r="G51" s="264">
        <v>45.9912746123726</v>
      </c>
      <c r="H51" s="474">
        <v>0.562143024904792</v>
      </c>
      <c r="I51" s="458">
        <v>30</v>
      </c>
      <c r="J51" s="458">
        <v>720</v>
      </c>
      <c r="K51" s="487">
        <v>590</v>
      </c>
      <c r="L51" s="487">
        <v>640.982090228973</v>
      </c>
    </row>
    <row r="52" spans="1:12">
      <c r="A52" s="461">
        <f t="shared" si="2"/>
        <v>43282</v>
      </c>
      <c r="B52" s="466">
        <v>396716</v>
      </c>
      <c r="C52" s="466">
        <v>424801.64887218</v>
      </c>
      <c r="D52" s="466">
        <v>236357</v>
      </c>
      <c r="E52" s="466">
        <v>278536.999999999</v>
      </c>
      <c r="F52" s="264">
        <v>90.3763440860215</v>
      </c>
      <c r="G52" s="264">
        <v>49.5620930175229</v>
      </c>
      <c r="H52" s="474">
        <v>0.58406887474548</v>
      </c>
      <c r="I52" s="458">
        <v>31</v>
      </c>
      <c r="J52" s="458">
        <v>744</v>
      </c>
      <c r="K52" s="487">
        <v>590</v>
      </c>
      <c r="L52" s="487">
        <v>640.982090228973</v>
      </c>
    </row>
    <row r="53" spans="1:12">
      <c r="A53" s="461">
        <f t="shared" si="2"/>
        <v>43313</v>
      </c>
      <c r="B53" s="466">
        <v>171984</v>
      </c>
      <c r="C53" s="466">
        <v>183561.687218045</v>
      </c>
      <c r="D53" s="466">
        <v>75446.0000000008</v>
      </c>
      <c r="E53" s="466">
        <v>127626.000000001</v>
      </c>
      <c r="F53" s="264">
        <v>39.1798797156916</v>
      </c>
      <c r="G53" s="264">
        <v>15.820397406466</v>
      </c>
      <c r="H53" s="474">
        <v>0.267621085199695</v>
      </c>
      <c r="I53" s="458">
        <v>31</v>
      </c>
      <c r="J53" s="458">
        <v>744</v>
      </c>
      <c r="K53" s="487">
        <v>590</v>
      </c>
      <c r="L53" s="487">
        <v>640.982090228973</v>
      </c>
    </row>
    <row r="54" spans="1:12">
      <c r="A54" s="463">
        <f t="shared" si="2"/>
        <v>43344</v>
      </c>
      <c r="B54" s="467">
        <v>384888</v>
      </c>
      <c r="C54" s="467">
        <v>412638.112030075</v>
      </c>
      <c r="D54" s="467">
        <v>215288</v>
      </c>
      <c r="E54" s="467">
        <v>276977.999999999</v>
      </c>
      <c r="F54" s="267">
        <v>90.6045197740113</v>
      </c>
      <c r="G54" s="267">
        <v>46.6489026244551</v>
      </c>
      <c r="H54" s="475">
        <v>0.600159774400631</v>
      </c>
      <c r="I54" s="460">
        <v>30</v>
      </c>
      <c r="J54" s="460">
        <v>720</v>
      </c>
      <c r="K54" s="488">
        <v>590</v>
      </c>
      <c r="L54" s="488">
        <v>640.982090228973</v>
      </c>
    </row>
    <row r="55" spans="1:12">
      <c r="A55" s="458" t="s">
        <v>530</v>
      </c>
      <c r="B55" s="466">
        <f t="shared" ref="B55:H55" si="3">AVERAGE(B43:B54)</f>
        <v>378860.75</v>
      </c>
      <c r="C55" s="466">
        <f t="shared" si="3"/>
        <v>405995.204135338</v>
      </c>
      <c r="D55" s="466">
        <f t="shared" si="3"/>
        <v>161049.333333333</v>
      </c>
      <c r="E55" s="466">
        <f t="shared" si="3"/>
        <v>249396.833333333</v>
      </c>
      <c r="F55" s="268">
        <f t="shared" si="3"/>
        <v>88.0496649638684</v>
      </c>
      <c r="G55" s="269">
        <f t="shared" si="3"/>
        <v>34.4751217105891</v>
      </c>
      <c r="H55" s="269">
        <f t="shared" si="3"/>
        <v>0.533780311676954</v>
      </c>
      <c r="I55" s="268"/>
      <c r="J55" s="268"/>
      <c r="K55" s="264">
        <f>AVERAGE(K43:K54)</f>
        <v>590</v>
      </c>
      <c r="L55" s="273">
        <f>AVERAGE(L43:L54)</f>
        <v>640.982090228973</v>
      </c>
    </row>
    <row r="56" spans="1:5">
      <c r="A56" s="458" t="s">
        <v>531</v>
      </c>
      <c r="B56" s="466">
        <f>SUM(B43:B54)</f>
        <v>4546329</v>
      </c>
      <c r="C56" s="466">
        <f>SUM(C43:C54)</f>
        <v>4871942.44962406</v>
      </c>
      <c r="D56" s="466">
        <f>SUM(D43:D54)</f>
        <v>1932592</v>
      </c>
      <c r="E56" s="466">
        <f>SUM(E43:E54)</f>
        <v>2992762</v>
      </c>
    </row>
    <row r="58" spans="6:6">
      <c r="F58" s="270"/>
    </row>
    <row r="60" ht="17.55"/>
    <row r="61" spans="3:10">
      <c r="C61" s="253" t="s">
        <v>834</v>
      </c>
      <c r="D61" s="254"/>
      <c r="E61" s="476" t="s">
        <v>115</v>
      </c>
      <c r="F61" s="477"/>
      <c r="G61" s="476" t="s">
        <v>315</v>
      </c>
      <c r="H61" s="477"/>
      <c r="I61" s="476" t="s">
        <v>273</v>
      </c>
      <c r="J61" s="477"/>
    </row>
    <row r="62" spans="3:10">
      <c r="C62" s="256" t="s">
        <v>835</v>
      </c>
      <c r="D62" s="468"/>
      <c r="E62" s="478" t="s">
        <v>876</v>
      </c>
      <c r="F62" s="479"/>
      <c r="G62" s="480" t="s">
        <v>877</v>
      </c>
      <c r="H62" s="479"/>
      <c r="I62" s="480" t="s">
        <v>878</v>
      </c>
      <c r="J62" s="479"/>
    </row>
    <row r="63" spans="3:10">
      <c r="C63" s="274"/>
      <c r="D63" s="469"/>
      <c r="E63" s="481"/>
      <c r="F63" s="482"/>
      <c r="G63" s="483"/>
      <c r="H63" s="484"/>
      <c r="I63" s="483"/>
      <c r="J63" s="484"/>
    </row>
    <row r="64" spans="3:10">
      <c r="C64" s="277" t="s">
        <v>839</v>
      </c>
      <c r="D64" s="470"/>
      <c r="E64" s="485" t="s">
        <v>879</v>
      </c>
      <c r="F64" s="486"/>
      <c r="G64" s="485" t="s">
        <v>880</v>
      </c>
      <c r="H64" s="486"/>
      <c r="I64" s="485" t="s">
        <v>880</v>
      </c>
      <c r="J64" s="486"/>
    </row>
    <row r="65" spans="3:10">
      <c r="C65" s="277" t="s">
        <v>841</v>
      </c>
      <c r="D65" s="470"/>
      <c r="E65" s="485" t="s">
        <v>842</v>
      </c>
      <c r="F65" s="486"/>
      <c r="G65" s="485" t="s">
        <v>842</v>
      </c>
      <c r="H65" s="486"/>
      <c r="I65" s="485" t="s">
        <v>842</v>
      </c>
      <c r="J65" s="486"/>
    </row>
    <row r="66" spans="3:10">
      <c r="C66" s="280" t="s">
        <v>843</v>
      </c>
      <c r="D66" s="489" t="s">
        <v>844</v>
      </c>
      <c r="E66" s="491">
        <v>190</v>
      </c>
      <c r="F66" s="492"/>
      <c r="G66" s="493">
        <v>210</v>
      </c>
      <c r="H66" s="494"/>
      <c r="I66" s="493">
        <v>190</v>
      </c>
      <c r="J66" s="494"/>
    </row>
    <row r="67" spans="3:10">
      <c r="C67" s="280" t="s">
        <v>845</v>
      </c>
      <c r="D67" s="489" t="s">
        <v>846</v>
      </c>
      <c r="E67" s="495">
        <v>39387</v>
      </c>
      <c r="F67" s="492"/>
      <c r="G67" s="496">
        <v>41944</v>
      </c>
      <c r="H67" s="494"/>
      <c r="I67" s="496">
        <v>40452</v>
      </c>
      <c r="J67" s="494"/>
    </row>
    <row r="68" spans="3:10">
      <c r="C68" s="280" t="s">
        <v>847</v>
      </c>
      <c r="D68" s="489" t="s">
        <v>59</v>
      </c>
      <c r="E68" s="491">
        <v>38.5</v>
      </c>
      <c r="F68" s="492"/>
      <c r="G68" s="493">
        <v>40.1</v>
      </c>
      <c r="H68" s="494"/>
      <c r="I68" s="493">
        <v>38.5</v>
      </c>
      <c r="J68" s="494"/>
    </row>
    <row r="69" ht="17.55" spans="3:10">
      <c r="C69" s="284" t="s">
        <v>848</v>
      </c>
      <c r="D69" s="490" t="s">
        <v>59</v>
      </c>
      <c r="E69" s="497">
        <v>43.4</v>
      </c>
      <c r="F69" s="498"/>
      <c r="G69" s="499">
        <v>40.6</v>
      </c>
      <c r="H69" s="500"/>
      <c r="I69" s="499">
        <v>43.4</v>
      </c>
      <c r="J69" s="500"/>
    </row>
  </sheetData>
  <mergeCells count="28">
    <mergeCell ref="C61:D61"/>
    <mergeCell ref="E61:F61"/>
    <mergeCell ref="G61:H61"/>
    <mergeCell ref="I61:J61"/>
    <mergeCell ref="C64:D64"/>
    <mergeCell ref="E64:F64"/>
    <mergeCell ref="G64:H64"/>
    <mergeCell ref="I64:J64"/>
    <mergeCell ref="C65:D65"/>
    <mergeCell ref="E65:F65"/>
    <mergeCell ref="G65:H65"/>
    <mergeCell ref="I65:J65"/>
    <mergeCell ref="E66:F66"/>
    <mergeCell ref="G66:H66"/>
    <mergeCell ref="I66:J66"/>
    <mergeCell ref="E67:F67"/>
    <mergeCell ref="G67:H67"/>
    <mergeCell ref="I67:J67"/>
    <mergeCell ref="E68:F68"/>
    <mergeCell ref="G68:H68"/>
    <mergeCell ref="I68:J68"/>
    <mergeCell ref="E69:F69"/>
    <mergeCell ref="G69:H69"/>
    <mergeCell ref="I69:J69"/>
    <mergeCell ref="C62:D63"/>
    <mergeCell ref="E62:F63"/>
    <mergeCell ref="G62:H63"/>
    <mergeCell ref="I62:J63"/>
  </mergeCells>
  <pageMargins left="0.7" right="0.7" top="0.787401575" bottom="0.787401575" header="0.3" footer="0.3"/>
  <headerFooter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N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31.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863</v>
      </c>
      <c r="C2" s="3"/>
      <c r="D2" s="3"/>
      <c r="E2" s="3"/>
      <c r="F2" s="3"/>
      <c r="G2" s="3"/>
      <c r="H2" s="3"/>
      <c r="I2" s="3"/>
      <c r="J2" s="3"/>
      <c r="K2" s="34"/>
      <c r="L2" s="1" t="s">
        <v>77</v>
      </c>
    </row>
    <row r="3" ht="21.75" customHeight="1" spans="1:12">
      <c r="A3" s="1"/>
      <c r="B3" s="4" t="s">
        <v>2</v>
      </c>
      <c r="C3" s="5"/>
      <c r="D3" s="5"/>
      <c r="E3" s="5"/>
      <c r="F3" s="21">
        <v>590</v>
      </c>
      <c r="G3" s="22"/>
      <c r="H3" s="23" t="s">
        <v>187</v>
      </c>
      <c r="I3" s="5" t="s">
        <v>881</v>
      </c>
      <c r="J3" s="35">
        <v>4655078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f>F3*0.95</f>
        <v>560.5</v>
      </c>
      <c r="G4" s="217"/>
      <c r="H4" s="25" t="s">
        <v>187</v>
      </c>
      <c r="I4" s="7" t="s">
        <v>191</v>
      </c>
      <c r="J4" s="37">
        <v>2500783.64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f>J6/J9*100</f>
        <v>93.3936705828397</v>
      </c>
      <c r="H6" s="27" t="s">
        <v>195</v>
      </c>
      <c r="I6" s="1"/>
      <c r="J6" s="40">
        <v>911494.02</v>
      </c>
      <c r="K6" s="41" t="s">
        <v>196</v>
      </c>
      <c r="L6" s="1"/>
    </row>
    <row r="7" ht="21.75" customHeight="1" spans="1:14">
      <c r="A7" s="1"/>
      <c r="B7" s="11"/>
      <c r="C7" s="1" t="s">
        <v>197</v>
      </c>
      <c r="D7" s="1"/>
      <c r="E7" s="1"/>
      <c r="F7" s="1"/>
      <c r="G7" s="26">
        <f>J7/J9*100</f>
        <v>4.55708568031511</v>
      </c>
      <c r="H7" s="27" t="s">
        <v>195</v>
      </c>
      <c r="I7" s="1"/>
      <c r="J7" s="40">
        <v>44475.78</v>
      </c>
      <c r="K7" s="41" t="s">
        <v>196</v>
      </c>
      <c r="L7" s="1"/>
      <c r="N7" t="s">
        <v>77</v>
      </c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f>J8/J9*100</f>
        <v>2.04924373684514</v>
      </c>
      <c r="H8" s="27" t="s">
        <v>195</v>
      </c>
      <c r="I8" s="1"/>
      <c r="J8" s="40">
        <v>20000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975969.8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38.246634534096</v>
      </c>
      <c r="H11" s="27" t="s">
        <v>195</v>
      </c>
      <c r="I11" s="1"/>
      <c r="J11" s="40">
        <v>339170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34</v>
      </c>
      <c r="F13" s="15" t="s">
        <v>204</v>
      </c>
      <c r="G13" s="31"/>
      <c r="H13" s="15"/>
      <c r="I13" s="15"/>
      <c r="J13" s="45">
        <v>156604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40</v>
      </c>
      <c r="F14" s="15" t="s">
        <v>204</v>
      </c>
      <c r="G14" s="31"/>
      <c r="H14" s="15"/>
      <c r="I14" s="15"/>
      <c r="J14" s="45">
        <v>5800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170</v>
      </c>
      <c r="F15" s="15" t="s">
        <v>204</v>
      </c>
      <c r="G15" s="31"/>
      <c r="H15" s="15"/>
      <c r="I15" s="15"/>
      <c r="J15" s="45">
        <v>175610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4.39784988893399</v>
      </c>
      <c r="H16" s="27" t="s">
        <v>195</v>
      </c>
      <c r="I16" s="1"/>
      <c r="J16" s="40">
        <v>39000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28.5361819793297</v>
      </c>
      <c r="H17" s="27" t="s">
        <v>195</v>
      </c>
      <c r="I17" s="1"/>
      <c r="J17" s="40">
        <v>253058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15.2976930525857</v>
      </c>
      <c r="H18" s="27" t="s">
        <v>195</v>
      </c>
      <c r="I18" s="1"/>
      <c r="J18" s="40">
        <v>135659.48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13.5216405450546</v>
      </c>
      <c r="H19" s="27" t="s">
        <v>195</v>
      </c>
      <c r="I19" s="1"/>
      <c r="J19" s="40">
        <v>119909.5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63934.42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2000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11295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1000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21111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13801.08</v>
      </c>
      <c r="K29" s="44" t="s">
        <v>196</v>
      </c>
      <c r="L29" s="15"/>
    </row>
    <row r="30" ht="21.75" customHeight="1" spans="1:14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  <c r="N30" t="s">
        <v>77</v>
      </c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6768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886796.98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20.9657024006902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19.0500992679392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1.91560313275095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89172.8200000001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499984740745262"/>
  </sheetPr>
  <dimension ref="B2:M59"/>
  <sheetViews>
    <sheetView zoomScale="115" zoomScaleNormal="115" workbookViewId="0">
      <selection activeCell="A1" sqref="A1"/>
    </sheetView>
  </sheetViews>
  <sheetFormatPr defaultColWidth="11.5" defaultRowHeight="16.8"/>
  <cols>
    <col min="1" max="1" width="11.5" style="354"/>
    <col min="2" max="2" width="30.5" style="354" customWidth="1"/>
    <col min="3" max="7" width="11.5" style="354"/>
    <col min="8" max="8" width="17.6634615384615" style="354" customWidth="1"/>
    <col min="9" max="9" width="11.5" style="354"/>
    <col min="10" max="10" width="13.1634615384615" style="354" customWidth="1"/>
    <col min="11" max="16384" width="11.5" style="354"/>
  </cols>
  <sheetData>
    <row r="2" ht="27.75" customHeight="1" spans="2:12">
      <c r="B2" s="291" t="s">
        <v>882</v>
      </c>
      <c r="C2" s="292"/>
      <c r="D2" s="292"/>
      <c r="E2" s="292"/>
      <c r="F2" s="292"/>
      <c r="G2" s="292"/>
      <c r="H2" s="292"/>
      <c r="I2" s="292"/>
      <c r="J2" s="292"/>
      <c r="K2" s="292"/>
      <c r="L2" s="298"/>
    </row>
    <row r="3" ht="17.6" spans="2:12">
      <c r="B3" s="230" t="s">
        <v>1</v>
      </c>
      <c r="C3" s="355"/>
      <c r="D3" s="356"/>
      <c r="E3" s="355"/>
      <c r="F3" s="355"/>
      <c r="G3" s="355"/>
      <c r="H3" s="356"/>
      <c r="I3" s="356"/>
      <c r="J3" s="355"/>
      <c r="K3" s="356"/>
      <c r="L3" s="411"/>
    </row>
    <row r="4" spans="2:12">
      <c r="B4" s="357" t="s">
        <v>2</v>
      </c>
      <c r="C4" s="358" t="s">
        <v>807</v>
      </c>
      <c r="D4" s="358"/>
      <c r="E4" s="358"/>
      <c r="F4" s="359"/>
      <c r="G4" s="359"/>
      <c r="H4" s="363"/>
      <c r="I4" s="363"/>
      <c r="J4" s="368"/>
      <c r="K4" s="368"/>
      <c r="L4" s="412"/>
    </row>
    <row r="5" spans="2:12">
      <c r="B5" s="357" t="s">
        <v>4</v>
      </c>
      <c r="C5" s="892" t="s">
        <v>883</v>
      </c>
      <c r="D5" s="358"/>
      <c r="E5" s="358"/>
      <c r="F5" s="359"/>
      <c r="G5" s="359"/>
      <c r="H5" s="363"/>
      <c r="I5" s="363"/>
      <c r="J5" s="368"/>
      <c r="K5" s="368"/>
      <c r="L5" s="412"/>
    </row>
    <row r="6" spans="2:12">
      <c r="B6" s="361" t="s">
        <v>6</v>
      </c>
      <c r="C6" s="362" t="s">
        <v>741</v>
      </c>
      <c r="D6" s="358"/>
      <c r="E6" s="363"/>
      <c r="F6" s="363"/>
      <c r="G6" s="363"/>
      <c r="H6" s="363"/>
      <c r="I6" s="363"/>
      <c r="J6" s="368"/>
      <c r="K6" s="368"/>
      <c r="L6" s="412"/>
    </row>
    <row r="7" spans="2:12">
      <c r="B7" s="357" t="s">
        <v>230</v>
      </c>
      <c r="C7" s="59" t="s">
        <v>369</v>
      </c>
      <c r="D7" s="358"/>
      <c r="E7" s="363"/>
      <c r="F7" s="363"/>
      <c r="G7" s="363"/>
      <c r="H7" s="363"/>
      <c r="I7" s="363"/>
      <c r="J7" s="368"/>
      <c r="K7" s="368"/>
      <c r="L7" s="412"/>
    </row>
    <row r="8" spans="2:12">
      <c r="B8" s="357" t="s">
        <v>231</v>
      </c>
      <c r="C8" s="59" t="s">
        <v>280</v>
      </c>
      <c r="D8" s="358"/>
      <c r="E8" s="363"/>
      <c r="F8" s="363"/>
      <c r="G8" s="363"/>
      <c r="H8" s="363"/>
      <c r="I8" s="363"/>
      <c r="J8" s="368"/>
      <c r="K8" s="368"/>
      <c r="L8" s="412"/>
    </row>
    <row r="9" spans="2:12">
      <c r="B9" s="361" t="s">
        <v>12</v>
      </c>
      <c r="C9" s="363" t="s">
        <v>13</v>
      </c>
      <c r="D9" s="358"/>
      <c r="E9" s="363"/>
      <c r="F9" s="363"/>
      <c r="G9" s="363"/>
      <c r="H9" s="363"/>
      <c r="I9" s="363"/>
      <c r="J9" s="363"/>
      <c r="K9" s="363"/>
      <c r="L9" s="412"/>
    </row>
    <row r="10" spans="2:12">
      <c r="B10" s="364" t="s">
        <v>232</v>
      </c>
      <c r="C10" s="363" t="s">
        <v>424</v>
      </c>
      <c r="D10" s="358"/>
      <c r="E10" s="363"/>
      <c r="F10" s="363"/>
      <c r="G10" s="363"/>
      <c r="H10" s="363"/>
      <c r="I10" s="363"/>
      <c r="J10" s="363"/>
      <c r="K10" s="363"/>
      <c r="L10" s="412"/>
    </row>
    <row r="11" spans="2:12">
      <c r="B11" s="365"/>
      <c r="C11" s="366"/>
      <c r="D11" s="366"/>
      <c r="E11" s="366"/>
      <c r="F11" s="366"/>
      <c r="G11" s="366"/>
      <c r="H11" s="366"/>
      <c r="I11" s="366"/>
      <c r="J11" s="366"/>
      <c r="K11" s="366"/>
      <c r="L11" s="413"/>
    </row>
    <row r="12" ht="17.6" spans="2:12">
      <c r="B12" s="367" t="s">
        <v>19</v>
      </c>
      <c r="C12" s="368"/>
      <c r="D12" s="369"/>
      <c r="E12" s="369"/>
      <c r="F12" s="369"/>
      <c r="G12" s="369"/>
      <c r="H12" s="398"/>
      <c r="I12" s="414" t="s">
        <v>20</v>
      </c>
      <c r="J12" s="415"/>
      <c r="K12" s="368"/>
      <c r="L12" s="412"/>
    </row>
    <row r="13" spans="2:12">
      <c r="B13" s="370" t="s">
        <v>233</v>
      </c>
      <c r="C13" s="368"/>
      <c r="D13" s="371" t="s">
        <v>22</v>
      </c>
      <c r="E13" s="372"/>
      <c r="F13" s="371"/>
      <c r="G13" s="371"/>
      <c r="H13" s="398" t="s">
        <v>24</v>
      </c>
      <c r="I13" s="368"/>
      <c r="J13" s="363"/>
      <c r="K13" s="363" t="s">
        <v>25</v>
      </c>
      <c r="L13" s="416"/>
    </row>
    <row r="14" spans="2:12">
      <c r="B14" s="370" t="s">
        <v>26</v>
      </c>
      <c r="C14" s="368"/>
      <c r="D14" s="372">
        <v>1</v>
      </c>
      <c r="E14" s="372"/>
      <c r="F14" s="372"/>
      <c r="G14" s="372"/>
      <c r="H14" s="363"/>
      <c r="I14" s="361" t="s">
        <v>248</v>
      </c>
      <c r="J14" s="368"/>
      <c r="K14" s="417">
        <f>'[80]Tabellen für Auswertung'!J16</f>
        <v>14656.3</v>
      </c>
      <c r="L14" s="412" t="s">
        <v>28</v>
      </c>
    </row>
    <row r="15" spans="2:12">
      <c r="B15" s="370" t="s">
        <v>54</v>
      </c>
      <c r="C15" s="368" t="s">
        <v>55</v>
      </c>
      <c r="D15" s="374">
        <v>1750</v>
      </c>
      <c r="E15" s="372"/>
      <c r="F15" s="374"/>
      <c r="G15" s="374"/>
      <c r="H15" s="374">
        <v>1750</v>
      </c>
      <c r="I15" s="361" t="s">
        <v>249</v>
      </c>
      <c r="J15" s="368"/>
      <c r="K15" s="418">
        <f>'[80]Tabellen für Auswertung'!I33</f>
        <v>40.2098265488991</v>
      </c>
      <c r="L15" s="412" t="s">
        <v>56</v>
      </c>
    </row>
    <row r="16" spans="2:12">
      <c r="B16" s="370" t="s">
        <v>234</v>
      </c>
      <c r="C16" s="368" t="s">
        <v>55</v>
      </c>
      <c r="D16" s="374">
        <v>1665</v>
      </c>
      <c r="E16" s="372"/>
      <c r="F16" s="374"/>
      <c r="G16" s="374"/>
      <c r="H16" s="399">
        <f>SUM(D16:G16)</f>
        <v>1665</v>
      </c>
      <c r="I16" s="363" t="s">
        <v>291</v>
      </c>
      <c r="J16" s="363"/>
      <c r="K16" s="419">
        <f>'[80]Tabellen für Auswertung'!B50*100</f>
        <v>38.5426080208071</v>
      </c>
      <c r="L16" s="416" t="s">
        <v>59</v>
      </c>
    </row>
    <row r="17" spans="2:12">
      <c r="B17" s="361" t="s">
        <v>61</v>
      </c>
      <c r="C17" s="363" t="s">
        <v>62</v>
      </c>
      <c r="D17" s="372" t="s">
        <v>63</v>
      </c>
      <c r="E17" s="372"/>
      <c r="F17" s="372"/>
      <c r="G17" s="372"/>
      <c r="H17" s="399"/>
      <c r="I17" s="363" t="s">
        <v>371</v>
      </c>
      <c r="J17" s="363"/>
      <c r="K17" s="419">
        <f>'[80]Tabellen für Auswertung'!D50*100</f>
        <v>44.7996930272106</v>
      </c>
      <c r="L17" s="416" t="s">
        <v>59</v>
      </c>
    </row>
    <row r="18" spans="2:12">
      <c r="B18" s="361" t="s">
        <v>66</v>
      </c>
      <c r="C18" s="363" t="s">
        <v>55</v>
      </c>
      <c r="D18" s="374">
        <v>700</v>
      </c>
      <c r="E18" s="372"/>
      <c r="F18" s="374"/>
      <c r="G18" s="374"/>
      <c r="H18" s="399">
        <f>SUM(D18:G18)</f>
        <v>700</v>
      </c>
      <c r="I18" s="363" t="s">
        <v>437</v>
      </c>
      <c r="J18" s="363"/>
      <c r="K18" s="419">
        <f>'[80]Tabellen für Auswertung'!C50*100</f>
        <v>10.4539068376815</v>
      </c>
      <c r="L18" s="416" t="s">
        <v>59</v>
      </c>
    </row>
    <row r="19" spans="2:12">
      <c r="B19" s="361"/>
      <c r="C19" s="363"/>
      <c r="D19" s="372"/>
      <c r="E19" s="400"/>
      <c r="F19" s="372"/>
      <c r="G19" s="372"/>
      <c r="H19" s="401"/>
      <c r="I19" s="363" t="s">
        <v>157</v>
      </c>
      <c r="J19" s="363"/>
      <c r="K19" s="419">
        <f>'[80]Tabellen für Auswertung'!E50*100</f>
        <v>3.30390402147576</v>
      </c>
      <c r="L19" s="416" t="s">
        <v>59</v>
      </c>
    </row>
    <row r="20" ht="17.6" spans="2:12">
      <c r="B20" s="375" t="s">
        <v>69</v>
      </c>
      <c r="C20" s="82"/>
      <c r="D20" s="449"/>
      <c r="E20" s="372"/>
      <c r="F20" s="449"/>
      <c r="G20" s="449"/>
      <c r="H20" s="402"/>
      <c r="I20" s="363" t="s">
        <v>155</v>
      </c>
      <c r="J20" s="363"/>
      <c r="K20" s="419">
        <f>'[80]Tabellen für Auswertung'!H50*100</f>
        <v>1.53424590247435</v>
      </c>
      <c r="L20" s="416" t="s">
        <v>59</v>
      </c>
    </row>
    <row r="21" spans="2:12">
      <c r="B21" s="370" t="s">
        <v>71</v>
      </c>
      <c r="C21" s="368" t="s">
        <v>59</v>
      </c>
      <c r="D21" s="377">
        <f>[80]Auswertung!L182</f>
        <v>8.49560549743587</v>
      </c>
      <c r="E21" s="372"/>
      <c r="F21" s="380"/>
      <c r="G21" s="372"/>
      <c r="H21" s="403"/>
      <c r="I21" s="363" t="s">
        <v>372</v>
      </c>
      <c r="J21" s="363"/>
      <c r="K21" s="419">
        <f>'[80]Tabellen für Auswertung'!F50*100</f>
        <v>1.00561018500852</v>
      </c>
      <c r="L21" s="416" t="s">
        <v>59</v>
      </c>
    </row>
    <row r="22" spans="2:12">
      <c r="B22" s="370" t="s">
        <v>73</v>
      </c>
      <c r="C22" s="368" t="s">
        <v>59</v>
      </c>
      <c r="D22" s="377">
        <f>[80]Auswertung!N182</f>
        <v>5.87679291060501</v>
      </c>
      <c r="E22" s="372"/>
      <c r="F22" s="380"/>
      <c r="G22" s="372"/>
      <c r="H22" s="403"/>
      <c r="I22" s="363" t="s">
        <v>560</v>
      </c>
      <c r="J22" s="363"/>
      <c r="K22" s="419">
        <f>'[80]Tabellen für Auswertung'!G50*100</f>
        <v>0.360032005342133</v>
      </c>
      <c r="L22" s="416" t="s">
        <v>59</v>
      </c>
    </row>
    <row r="23" ht="18" spans="2:12">
      <c r="B23" s="370" t="s">
        <v>74</v>
      </c>
      <c r="C23" s="378" t="s">
        <v>75</v>
      </c>
      <c r="D23" s="377"/>
      <c r="E23" s="372"/>
      <c r="F23" s="377"/>
      <c r="G23" s="372"/>
      <c r="H23" s="103" t="s">
        <v>606</v>
      </c>
      <c r="I23" s="420"/>
      <c r="J23" s="363"/>
      <c r="K23" s="363"/>
      <c r="L23" s="416"/>
    </row>
    <row r="24" ht="18" spans="2:12">
      <c r="B24" s="370" t="s">
        <v>78</v>
      </c>
      <c r="C24" s="363" t="s">
        <v>79</v>
      </c>
      <c r="D24" s="379"/>
      <c r="E24" s="372"/>
      <c r="F24" s="379"/>
      <c r="G24" s="372"/>
      <c r="H24" s="104" t="s">
        <v>607</v>
      </c>
      <c r="I24" s="421" t="s">
        <v>80</v>
      </c>
      <c r="J24" s="363"/>
      <c r="K24" s="419">
        <f>'[80]Tabellen für Auswertung'!I84</f>
        <v>23.2751952739824</v>
      </c>
      <c r="L24" s="416" t="s">
        <v>59</v>
      </c>
    </row>
    <row r="25" ht="18" spans="2:12">
      <c r="B25" s="361" t="s">
        <v>81</v>
      </c>
      <c r="C25" s="363" t="s">
        <v>59</v>
      </c>
      <c r="D25" s="372"/>
      <c r="E25" s="372"/>
      <c r="F25" s="372"/>
      <c r="G25" s="372"/>
      <c r="H25" s="104" t="s">
        <v>551</v>
      </c>
      <c r="I25" s="363" t="s">
        <v>83</v>
      </c>
      <c r="J25" s="363"/>
      <c r="K25" s="419">
        <f>'[80]Tabellen für Auswertung'!I101</f>
        <v>76.3238370747815</v>
      </c>
      <c r="L25" s="416" t="s">
        <v>59</v>
      </c>
    </row>
    <row r="26" ht="18" spans="2:12">
      <c r="B26" s="57" t="s">
        <v>84</v>
      </c>
      <c r="C26" s="363" t="s">
        <v>59</v>
      </c>
      <c r="D26" s="372"/>
      <c r="E26" s="372"/>
      <c r="F26" s="372"/>
      <c r="G26" s="372"/>
      <c r="H26" s="105" t="s">
        <v>818</v>
      </c>
      <c r="I26" s="363" t="s">
        <v>86</v>
      </c>
      <c r="J26" s="363"/>
      <c r="K26" s="419">
        <f>'[80]Tabellen für Auswertung'!I118</f>
        <v>56.4497590592052</v>
      </c>
      <c r="L26" s="416" t="s">
        <v>59</v>
      </c>
    </row>
    <row r="27" ht="18" spans="2:12">
      <c r="B27" s="370" t="s">
        <v>854</v>
      </c>
      <c r="C27" s="363" t="s">
        <v>88</v>
      </c>
      <c r="D27" s="372"/>
      <c r="E27" s="372"/>
      <c r="F27" s="372"/>
      <c r="G27" s="372"/>
      <c r="H27" s="103" t="s">
        <v>294</v>
      </c>
      <c r="I27" s="400"/>
      <c r="J27" s="400"/>
      <c r="K27" s="400"/>
      <c r="L27" s="401"/>
    </row>
    <row r="28" ht="18" spans="2:12">
      <c r="B28" s="370" t="s">
        <v>90</v>
      </c>
      <c r="C28" s="363" t="s">
        <v>91</v>
      </c>
      <c r="D28" s="372"/>
      <c r="E28" s="372"/>
      <c r="F28" s="372"/>
      <c r="G28" s="372"/>
      <c r="H28" s="103" t="s">
        <v>587</v>
      </c>
      <c r="I28" s="367" t="s">
        <v>93</v>
      </c>
      <c r="J28" s="422"/>
      <c r="K28" s="363"/>
      <c r="L28" s="412"/>
    </row>
    <row r="29" spans="2:12">
      <c r="B29" s="370" t="s">
        <v>32</v>
      </c>
      <c r="C29" s="363" t="s">
        <v>62</v>
      </c>
      <c r="D29" s="377">
        <f>[80]Auswertung!N230</f>
        <v>7.959</v>
      </c>
      <c r="E29" s="372"/>
      <c r="F29" s="377"/>
      <c r="G29" s="372"/>
      <c r="H29" s="372"/>
      <c r="I29" s="370" t="s">
        <v>26</v>
      </c>
      <c r="J29" s="368"/>
      <c r="K29" s="363">
        <v>1</v>
      </c>
      <c r="L29" s="412"/>
    </row>
    <row r="30" spans="2:12">
      <c r="B30" s="370" t="s">
        <v>94</v>
      </c>
      <c r="C30" s="363" t="s">
        <v>95</v>
      </c>
      <c r="D30" s="379">
        <f>'[80]Tabellen für Auswertung'!N155</f>
        <v>43.9619718309859</v>
      </c>
      <c r="E30" s="372"/>
      <c r="F30" s="377"/>
      <c r="G30" s="372"/>
      <c r="H30" s="372"/>
      <c r="I30" s="370" t="s">
        <v>96</v>
      </c>
      <c r="J30" s="393"/>
      <c r="K30" s="417">
        <v>5100</v>
      </c>
      <c r="L30" s="412" t="s">
        <v>55</v>
      </c>
    </row>
    <row r="31" spans="2:12">
      <c r="B31" s="370" t="s">
        <v>855</v>
      </c>
      <c r="C31" s="368" t="s">
        <v>98</v>
      </c>
      <c r="D31" s="377">
        <f>[80]Auswertung!L230</f>
        <v>3.176</v>
      </c>
      <c r="E31" s="372"/>
      <c r="F31" s="377"/>
      <c r="G31" s="372"/>
      <c r="H31" s="372"/>
      <c r="I31" s="370" t="s">
        <v>99</v>
      </c>
      <c r="J31" s="393"/>
      <c r="K31" s="417"/>
      <c r="L31" s="412" t="s">
        <v>55</v>
      </c>
    </row>
    <row r="32" spans="2:12">
      <c r="B32" s="370" t="s">
        <v>856</v>
      </c>
      <c r="C32" s="368" t="s">
        <v>98</v>
      </c>
      <c r="D32" s="377">
        <f>[80]Auswertung!M230</f>
        <v>6.34408193386617</v>
      </c>
      <c r="E32" s="372"/>
      <c r="F32" s="377"/>
      <c r="G32" s="372"/>
      <c r="H32" s="372"/>
      <c r="I32" s="370" t="s">
        <v>66</v>
      </c>
      <c r="J32" s="393"/>
      <c r="K32" s="417">
        <v>1600</v>
      </c>
      <c r="L32" s="412" t="s">
        <v>55</v>
      </c>
    </row>
    <row r="33" spans="2:12">
      <c r="B33" s="370" t="s">
        <v>101</v>
      </c>
      <c r="C33" s="368" t="s">
        <v>102</v>
      </c>
      <c r="D33" s="381">
        <v>773</v>
      </c>
      <c r="E33" s="372"/>
      <c r="F33" s="381"/>
      <c r="G33" s="372"/>
      <c r="H33" s="372" t="s">
        <v>77</v>
      </c>
      <c r="I33" s="361" t="s">
        <v>103</v>
      </c>
      <c r="J33" s="368"/>
      <c r="K33" s="423">
        <v>4</v>
      </c>
      <c r="L33" s="412" t="s">
        <v>59</v>
      </c>
    </row>
    <row r="34" spans="2:13">
      <c r="B34" s="370" t="s">
        <v>104</v>
      </c>
      <c r="C34" s="368" t="s">
        <v>62</v>
      </c>
      <c r="D34" s="380">
        <f>[80]Auswertung!O208</f>
        <v>0.191538775834768</v>
      </c>
      <c r="E34" s="372"/>
      <c r="F34" s="380"/>
      <c r="G34" s="372"/>
      <c r="H34" s="372"/>
      <c r="I34" s="370" t="s">
        <v>105</v>
      </c>
      <c r="J34" s="368"/>
      <c r="K34" s="423">
        <f>[80]Auswertung!Q182</f>
        <v>6.80278869534287</v>
      </c>
      <c r="L34" s="412" t="s">
        <v>59</v>
      </c>
      <c r="M34" s="354" t="s">
        <v>380</v>
      </c>
    </row>
    <row r="35" spans="2:13">
      <c r="B35" s="370"/>
      <c r="C35" s="368"/>
      <c r="D35" s="381"/>
      <c r="E35" s="372"/>
      <c r="F35" s="372"/>
      <c r="G35" s="372"/>
      <c r="H35" s="372"/>
      <c r="I35" s="370" t="s">
        <v>106</v>
      </c>
      <c r="J35" s="368"/>
      <c r="K35" s="423">
        <f>[80]Auswertung!R182</f>
        <v>71.3619406762079</v>
      </c>
      <c r="L35" s="412" t="s">
        <v>59</v>
      </c>
      <c r="M35" s="354" t="s">
        <v>380</v>
      </c>
    </row>
    <row r="36" spans="2:12">
      <c r="B36" s="382" t="s">
        <v>142</v>
      </c>
      <c r="C36" s="368"/>
      <c r="D36" s="368"/>
      <c r="E36" s="452"/>
      <c r="F36" s="381"/>
      <c r="G36" s="381"/>
      <c r="H36" s="381"/>
      <c r="I36" s="424"/>
      <c r="J36" s="372"/>
      <c r="K36" s="372"/>
      <c r="L36" s="401"/>
    </row>
    <row r="37" ht="17.6" spans="2:12">
      <c r="B37" s="230" t="s">
        <v>107</v>
      </c>
      <c r="C37" s="450"/>
      <c r="D37" s="383"/>
      <c r="E37" s="383"/>
      <c r="F37" s="383"/>
      <c r="G37" s="383"/>
      <c r="H37" s="453"/>
      <c r="I37" s="425" t="s">
        <v>108</v>
      </c>
      <c r="J37" s="426"/>
      <c r="K37" s="426"/>
      <c r="L37" s="427"/>
    </row>
    <row r="38" spans="2:12">
      <c r="B38" s="384"/>
      <c r="C38" s="381"/>
      <c r="D38" s="381"/>
      <c r="E38" s="368"/>
      <c r="F38" s="381"/>
      <c r="G38" s="381"/>
      <c r="H38" s="404"/>
      <c r="I38" s="370"/>
      <c r="J38" s="368" t="s">
        <v>109</v>
      </c>
      <c r="K38" s="381" t="s">
        <v>110</v>
      </c>
      <c r="L38" s="412"/>
    </row>
    <row r="39" spans="2:12">
      <c r="B39" s="385"/>
      <c r="C39" s="368"/>
      <c r="D39" s="368"/>
      <c r="E39" s="368"/>
      <c r="F39" s="381"/>
      <c r="G39" s="381"/>
      <c r="H39" s="404"/>
      <c r="I39" s="428" t="s">
        <v>112</v>
      </c>
      <c r="J39" s="368"/>
      <c r="K39" s="368"/>
      <c r="L39" s="412"/>
    </row>
    <row r="40" spans="2:12">
      <c r="B40" s="384"/>
      <c r="C40" s="381"/>
      <c r="D40" s="381"/>
      <c r="E40" s="368"/>
      <c r="F40" s="381"/>
      <c r="G40" s="381"/>
      <c r="H40" s="404"/>
      <c r="I40" s="370"/>
      <c r="J40" s="368" t="s">
        <v>113</v>
      </c>
      <c r="K40" s="456" t="s">
        <v>857</v>
      </c>
      <c r="L40" s="430">
        <f>'[80]Finales Datenblatt'!AH370</f>
        <v>51.8718309859155</v>
      </c>
    </row>
    <row r="41" spans="2:12">
      <c r="B41" s="386"/>
      <c r="C41" s="387"/>
      <c r="D41" s="388" t="s">
        <v>115</v>
      </c>
      <c r="E41" s="388" t="s">
        <v>273</v>
      </c>
      <c r="F41" s="371"/>
      <c r="G41" s="371"/>
      <c r="H41" s="371"/>
      <c r="I41" s="370"/>
      <c r="J41" s="368" t="s">
        <v>113</v>
      </c>
      <c r="K41" s="381" t="s">
        <v>858</v>
      </c>
      <c r="L41" s="457" t="s">
        <v>117</v>
      </c>
    </row>
    <row r="42" spans="2:12">
      <c r="B42" s="370" t="s">
        <v>118</v>
      </c>
      <c r="C42" s="368"/>
      <c r="D42" s="372" t="s">
        <v>119</v>
      </c>
      <c r="E42" s="372" t="s">
        <v>119</v>
      </c>
      <c r="F42" s="381"/>
      <c r="G42" s="381"/>
      <c r="H42" s="404"/>
      <c r="I42" s="370"/>
      <c r="J42" s="368" t="s">
        <v>113</v>
      </c>
      <c r="K42" s="381" t="s">
        <v>859</v>
      </c>
      <c r="L42" s="430">
        <f>'[80]Finales Datenblatt'!AJ370</f>
        <v>0.235294117647059</v>
      </c>
    </row>
    <row r="43" spans="2:12">
      <c r="B43" s="370" t="s">
        <v>121</v>
      </c>
      <c r="C43" s="368" t="s">
        <v>122</v>
      </c>
      <c r="D43" s="372">
        <v>350</v>
      </c>
      <c r="E43" s="379">
        <v>190</v>
      </c>
      <c r="F43" s="387"/>
      <c r="G43" s="381"/>
      <c r="H43" s="404"/>
      <c r="I43" s="370"/>
      <c r="J43" s="368" t="s">
        <v>123</v>
      </c>
      <c r="K43" s="456" t="s">
        <v>860</v>
      </c>
      <c r="L43" s="430">
        <f>'[80]Finales Datenblatt'!AL370</f>
        <v>71.0791044776119</v>
      </c>
    </row>
    <row r="44" spans="2:12">
      <c r="B44" s="370" t="s">
        <v>125</v>
      </c>
      <c r="C44" s="368" t="s">
        <v>122</v>
      </c>
      <c r="D44" s="379">
        <f>D43/D45*D46</f>
        <v>373.275862068965</v>
      </c>
      <c r="E44" s="379">
        <f>E43/E45*E46</f>
        <v>229.686684073107</v>
      </c>
      <c r="F44" s="387"/>
      <c r="G44" s="381"/>
      <c r="H44" s="404"/>
      <c r="I44" s="431" t="s">
        <v>126</v>
      </c>
      <c r="J44" s="368"/>
      <c r="K44" s="368"/>
      <c r="L44" s="416"/>
    </row>
    <row r="45" spans="2:12">
      <c r="B45" s="370" t="s">
        <v>127</v>
      </c>
      <c r="C45" s="368" t="s">
        <v>59</v>
      </c>
      <c r="D45" s="372">
        <v>40.6</v>
      </c>
      <c r="E45" s="372">
        <v>38.3</v>
      </c>
      <c r="F45" s="381"/>
      <c r="G45" s="381"/>
      <c r="H45" s="404"/>
      <c r="I45" s="368"/>
      <c r="J45" s="368"/>
      <c r="K45" s="381" t="s">
        <v>128</v>
      </c>
      <c r="L45" s="404" t="s">
        <v>129</v>
      </c>
    </row>
    <row r="46" spans="2:12">
      <c r="B46" s="370" t="s">
        <v>130</v>
      </c>
      <c r="C46" s="368" t="s">
        <v>59</v>
      </c>
      <c r="D46" s="372">
        <v>43.3</v>
      </c>
      <c r="E46" s="372">
        <v>46.3</v>
      </c>
      <c r="F46" s="381"/>
      <c r="G46" s="381"/>
      <c r="H46" s="404"/>
      <c r="I46" s="370"/>
      <c r="J46" s="368" t="s">
        <v>131</v>
      </c>
      <c r="K46" s="379">
        <f>[80]Auswertung!Q156/'[80]Tabellen für Auswertung'!J16</f>
        <v>137.813902757581</v>
      </c>
      <c r="L46" s="432">
        <f>K46*L40/100</f>
        <v>71.4865947135065</v>
      </c>
    </row>
    <row r="47" spans="2:12">
      <c r="B47" s="361" t="s">
        <v>132</v>
      </c>
      <c r="C47" s="363" t="s">
        <v>62</v>
      </c>
      <c r="D47" s="372" t="s">
        <v>725</v>
      </c>
      <c r="E47" s="372" t="s">
        <v>133</v>
      </c>
      <c r="F47" s="381"/>
      <c r="G47" s="381"/>
      <c r="H47" s="404"/>
      <c r="I47" s="370"/>
      <c r="J47" s="368" t="s">
        <v>134</v>
      </c>
      <c r="K47" s="379">
        <f>K46/(K24/100*K25/100)</f>
        <v>775.781649675522</v>
      </c>
      <c r="L47" s="432">
        <f>L46/(K24/100*K25/100)</f>
        <v>402.412146139434</v>
      </c>
    </row>
    <row r="48" spans="2:12">
      <c r="B48" s="370" t="s">
        <v>135</v>
      </c>
      <c r="C48" s="368" t="s">
        <v>240</v>
      </c>
      <c r="D48" s="374">
        <f>'[80]Tabellen für Auswertung'!N33</f>
        <v>5499.568</v>
      </c>
      <c r="E48" s="374">
        <f>'[80]Tabellen für Auswertung'!O33</f>
        <v>8123.5</v>
      </c>
      <c r="F48" s="381"/>
      <c r="G48" s="381" t="s">
        <v>77</v>
      </c>
      <c r="H48" s="404"/>
      <c r="I48" s="431" t="s">
        <v>137</v>
      </c>
      <c r="J48" s="368"/>
      <c r="K48" s="363"/>
      <c r="L48" s="416"/>
    </row>
    <row r="49" spans="2:12">
      <c r="B49" s="361" t="s">
        <v>138</v>
      </c>
      <c r="C49" s="368" t="s">
        <v>240</v>
      </c>
      <c r="D49" s="374" t="e">
        <f>'[80]Tabellen für Auswertung'!N50/'[81]BGA 44_Datenblatt'!D43</f>
        <v>#REF!</v>
      </c>
      <c r="E49" s="374" t="e">
        <f>'[80]Tabellen für Auswertung'!O50/'[81]BGA 44_Datenblatt'!E43</f>
        <v>#REF!</v>
      </c>
      <c r="F49" s="381"/>
      <c r="G49" s="454"/>
      <c r="H49" s="455"/>
      <c r="I49" s="370"/>
      <c r="J49" s="368" t="s">
        <v>139</v>
      </c>
      <c r="K49" s="374">
        <f>'[80]Tabellen für Auswertung'!Q50/365</f>
        <v>10820.6191780822</v>
      </c>
      <c r="L49" s="399"/>
    </row>
    <row r="50" spans="2:12">
      <c r="B50" s="361" t="s">
        <v>140</v>
      </c>
      <c r="C50" s="368" t="s">
        <v>59</v>
      </c>
      <c r="D50" s="387" t="e">
        <f>'[80]Tabellen für Auswertung'!N50/('[81]BGA 44_Datenblatt'!D43*8760)*100</f>
        <v>#REF!</v>
      </c>
      <c r="E50" s="387" t="e">
        <f>'[80]Tabellen für Auswertung'!O50/('[81]BGA 44_Datenblatt'!E43*8760)*100</f>
        <v>#REF!</v>
      </c>
      <c r="F50" s="381"/>
      <c r="G50" s="381"/>
      <c r="H50" s="404"/>
      <c r="I50" s="370"/>
      <c r="J50" s="368" t="s">
        <v>141</v>
      </c>
      <c r="K50" s="374">
        <f>K49/K15</f>
        <v>269.103851142537</v>
      </c>
      <c r="L50" s="416"/>
    </row>
    <row r="51" spans="2:12">
      <c r="B51" s="389"/>
      <c r="C51" s="368"/>
      <c r="D51" s="381"/>
      <c r="E51" s="381"/>
      <c r="F51" s="381"/>
      <c r="G51" s="381"/>
      <c r="H51" s="404"/>
      <c r="I51" s="369"/>
      <c r="J51" s="368"/>
      <c r="K51" s="372"/>
      <c r="L51" s="416"/>
    </row>
    <row r="52" spans="2:12">
      <c r="B52" s="382" t="s">
        <v>142</v>
      </c>
      <c r="C52" s="390"/>
      <c r="D52" s="390"/>
      <c r="E52" s="406"/>
      <c r="F52" s="407"/>
      <c r="G52" s="407"/>
      <c r="H52" s="408"/>
      <c r="I52" s="381"/>
      <c r="J52" s="381"/>
      <c r="K52" s="381"/>
      <c r="L52" s="412"/>
    </row>
    <row r="53" ht="17.6" spans="2:12">
      <c r="B53" s="90"/>
      <c r="C53" s="381"/>
      <c r="D53" s="368"/>
      <c r="E53" s="368"/>
      <c r="F53" s="368"/>
      <c r="G53" s="409" t="s">
        <v>144</v>
      </c>
      <c r="H53" s="368"/>
      <c r="I53" s="383"/>
      <c r="J53" s="426"/>
      <c r="K53" s="426"/>
      <c r="L53" s="427"/>
    </row>
    <row r="54" spans="2:12">
      <c r="B54" s="66"/>
      <c r="C54" s="381"/>
      <c r="D54" s="393"/>
      <c r="E54" s="393"/>
      <c r="F54" s="368"/>
      <c r="G54" s="368"/>
      <c r="H54" s="368"/>
      <c r="I54" s="381" t="s">
        <v>145</v>
      </c>
      <c r="J54" s="368"/>
      <c r="K54" s="368"/>
      <c r="L54" s="412"/>
    </row>
    <row r="55" spans="2:12">
      <c r="B55" s="66"/>
      <c r="C55" s="374"/>
      <c r="D55" s="374"/>
      <c r="E55" s="410"/>
      <c r="F55" s="368"/>
      <c r="G55" s="368" t="s">
        <v>274</v>
      </c>
      <c r="H55" s="368"/>
      <c r="I55" s="393">
        <v>1870000</v>
      </c>
      <c r="J55" s="368"/>
      <c r="K55" s="410" t="s">
        <v>149</v>
      </c>
      <c r="L55" s="412"/>
    </row>
    <row r="56" spans="2:12">
      <c r="B56" s="396"/>
      <c r="C56" s="397"/>
      <c r="D56" s="397"/>
      <c r="E56" s="397"/>
      <c r="F56" s="397"/>
      <c r="G56" s="397"/>
      <c r="H56" s="397"/>
      <c r="I56" s="397"/>
      <c r="J56" s="397"/>
      <c r="K56" s="434"/>
      <c r="L56" s="413"/>
    </row>
    <row r="59" spans="3:3">
      <c r="C59" s="451" t="s">
        <v>77</v>
      </c>
    </row>
  </sheetData>
  <mergeCells count="1">
    <mergeCell ref="B2:L2"/>
  </mergeCells>
  <pageMargins left="0.7" right="0.7" top="0.787401575" bottom="0.787401575" header="0.3" footer="0.3"/>
  <headerFooter/>
  <ignoredErrors>
    <ignoredError sqref="C5" numberStoredAsText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499984740745262"/>
  </sheetPr>
  <dimension ref="A2:Y67"/>
  <sheetViews>
    <sheetView zoomScale="85" zoomScaleNormal="85" workbookViewId="0">
      <selection activeCell="A1" sqref="A1"/>
    </sheetView>
  </sheetViews>
  <sheetFormatPr defaultColWidth="11.5" defaultRowHeight="16.8"/>
  <cols>
    <col min="1" max="1" width="11.5" style="305"/>
    <col min="2" max="2" width="10.6634615384615" style="305" customWidth="1"/>
    <col min="3" max="3" width="12.5" style="305" customWidth="1"/>
    <col min="4" max="4" width="13.5" style="305" customWidth="1"/>
    <col min="5" max="5" width="12.5" style="305" customWidth="1"/>
    <col min="6" max="6" width="13.5" style="305" customWidth="1"/>
    <col min="7" max="7" width="12.5" style="305" customWidth="1"/>
    <col min="8" max="8" width="13.5" style="305" customWidth="1"/>
    <col min="9" max="9" width="10" style="305" customWidth="1"/>
    <col min="10" max="10" width="17.5" style="305" customWidth="1"/>
    <col min="11" max="16384" width="11.5" style="305"/>
  </cols>
  <sheetData>
    <row r="2" spans="1:11">
      <c r="A2" s="306" t="s">
        <v>154</v>
      </c>
      <c r="B2" s="306" t="s">
        <v>884</v>
      </c>
      <c r="C2" s="306" t="s">
        <v>437</v>
      </c>
      <c r="D2" s="306" t="s">
        <v>58</v>
      </c>
      <c r="E2" s="306" t="s">
        <v>157</v>
      </c>
      <c r="F2" s="306" t="s">
        <v>372</v>
      </c>
      <c r="G2" s="306" t="s">
        <v>155</v>
      </c>
      <c r="H2" s="306" t="s">
        <v>560</v>
      </c>
      <c r="I2" s="306"/>
      <c r="J2" s="306" t="s">
        <v>385</v>
      </c>
      <c r="K2" s="306" t="s">
        <v>386</v>
      </c>
    </row>
    <row r="3" spans="1:25">
      <c r="A3" s="307">
        <f>[19]Auswertung!K3</f>
        <v>0</v>
      </c>
      <c r="B3" s="307" t="str">
        <f>[19]Auswertung!L3</f>
        <v>[%]</v>
      </c>
      <c r="C3" s="307" t="str">
        <f>[19]Auswertung!M3</f>
        <v>[%]</v>
      </c>
      <c r="D3" s="307" t="str">
        <f>[19]Auswertung!P3</f>
        <v>[%]</v>
      </c>
      <c r="E3" s="307" t="str">
        <f>[19]Auswertung!O3</f>
        <v>[%]</v>
      </c>
      <c r="F3" s="307" t="str">
        <f>[19]Auswertung!P3</f>
        <v>[%]</v>
      </c>
      <c r="G3" s="307" t="str">
        <f>[19]Auswertung!Q3</f>
        <v>[%]</v>
      </c>
      <c r="H3" s="307" t="str">
        <f>[19]Auswertung!R3</f>
        <v>[%]</v>
      </c>
      <c r="I3" s="307" t="str">
        <f>[19]Auswertung!U3</f>
        <v>[%]</v>
      </c>
      <c r="J3" s="307" t="str">
        <f>[19]Auswertung!S3</f>
        <v>[t/d]</v>
      </c>
      <c r="K3" s="307"/>
      <c r="X3" s="344" t="s">
        <v>387</v>
      </c>
      <c r="Y3" s="346"/>
    </row>
    <row r="4" spans="1:11">
      <c r="A4" s="308">
        <f>[76]Auswertung!K4</f>
        <v>42948</v>
      </c>
      <c r="B4" s="309">
        <f>[80]Auswertung!L4</f>
        <v>50.0828576689376</v>
      </c>
      <c r="C4" s="309">
        <f>[80]Auswertung!M4</f>
        <v>7.18099797459032</v>
      </c>
      <c r="D4" s="309">
        <f>[80]Auswertung!N4</f>
        <v>33.1430675750322</v>
      </c>
      <c r="E4" s="309">
        <f>[80]Auswertung!O4</f>
        <v>8.56195912354999</v>
      </c>
      <c r="F4" s="335">
        <f>[80]Auswertung!P4</f>
        <v>0.785613453630393</v>
      </c>
      <c r="G4" s="309">
        <f>[80]Auswertung!R4</f>
        <v>0</v>
      </c>
      <c r="H4" s="309">
        <f>[80]Auswertung!Q4</f>
        <v>0.245504204259498</v>
      </c>
      <c r="I4" s="335"/>
      <c r="J4" s="309">
        <f>[80]Auswertung!S4</f>
        <v>52.558064516129</v>
      </c>
      <c r="K4" s="335">
        <f t="shared" ref="K4:K16" si="0">SUM(B4:H4)</f>
        <v>100</v>
      </c>
    </row>
    <row r="5" spans="1:11">
      <c r="A5" s="308">
        <f>[76]Auswertung!K5</f>
        <v>42979</v>
      </c>
      <c r="B5" s="309">
        <f>[80]Auswertung!L5</f>
        <v>56.4388961892247</v>
      </c>
      <c r="C5" s="309">
        <f>[80]Auswertung!M5</f>
        <v>3.84362680683311</v>
      </c>
      <c r="D5" s="309">
        <f>[80]Auswertung!N5</f>
        <v>31.2417871222076</v>
      </c>
      <c r="E5" s="309">
        <f>[80]Auswertung!O5</f>
        <v>6.80026281208936</v>
      </c>
      <c r="F5" s="335">
        <f>[80]Auswertung!P5</f>
        <v>0.755584756898817</v>
      </c>
      <c r="G5" s="309">
        <f>[80]Auswertung!R5</f>
        <v>0</v>
      </c>
      <c r="H5" s="309">
        <f>[80]Auswertung!Q5</f>
        <v>0.919842312746386</v>
      </c>
      <c r="I5" s="335"/>
      <c r="J5" s="309">
        <f>[80]Auswertung!S5</f>
        <v>50.7333333333333</v>
      </c>
      <c r="K5" s="335">
        <f t="shared" si="0"/>
        <v>100</v>
      </c>
    </row>
    <row r="6" spans="1:11">
      <c r="A6" s="308">
        <f>[76]Auswertung!K6</f>
        <v>43009</v>
      </c>
      <c r="B6" s="309">
        <f>[80]Auswertung!L6</f>
        <v>42.2571282226396</v>
      </c>
      <c r="C6" s="309">
        <f>[80]Auswertung!M6</f>
        <v>6.6160150247567</v>
      </c>
      <c r="D6" s="309">
        <f>[80]Auswertung!N6</f>
        <v>49.6756018439474</v>
      </c>
      <c r="E6" s="309">
        <f>[80]Auswertung!O6</f>
        <v>0</v>
      </c>
      <c r="F6" s="335">
        <f>[80]Auswertung!P6</f>
        <v>0</v>
      </c>
      <c r="G6" s="309">
        <f>[80]Auswertung!R6</f>
        <v>0</v>
      </c>
      <c r="H6" s="309">
        <f>[80]Auswertung!Q6</f>
        <v>1.45125490865631</v>
      </c>
      <c r="I6" s="335"/>
      <c r="J6" s="309">
        <f>[80]Auswertung!S6</f>
        <v>37.7870967741936</v>
      </c>
      <c r="K6" s="335">
        <f t="shared" si="0"/>
        <v>100</v>
      </c>
    </row>
    <row r="7" spans="1:11">
      <c r="A7" s="308">
        <f>[76]Auswertung!K7</f>
        <v>43040</v>
      </c>
      <c r="B7" s="309">
        <f>[80]Auswertung!L7</f>
        <v>39.1408538208929</v>
      </c>
      <c r="C7" s="309">
        <f>[80]Auswertung!M7</f>
        <v>7.63291026892695</v>
      </c>
      <c r="D7" s="309">
        <f>[80]Auswertung!N7</f>
        <v>50.3062039584628</v>
      </c>
      <c r="E7" s="309">
        <f>[80]Auswertung!O7</f>
        <v>0</v>
      </c>
      <c r="F7" s="335">
        <f>[80]Auswertung!P7</f>
        <v>2.1656164018816</v>
      </c>
      <c r="G7" s="309">
        <f>[80]Auswertung!R7</f>
        <v>0</v>
      </c>
      <c r="H7" s="309">
        <f>[80]Auswertung!Q7</f>
        <v>0.754415549835804</v>
      </c>
      <c r="I7" s="335"/>
      <c r="J7" s="309">
        <f>[80]Auswertung!S7</f>
        <v>37.5566666666667</v>
      </c>
      <c r="K7" s="335">
        <f t="shared" si="0"/>
        <v>100</v>
      </c>
    </row>
    <row r="8" spans="1:11">
      <c r="A8" s="308">
        <f>[76]Auswertung!K8</f>
        <v>43070</v>
      </c>
      <c r="B8" s="309">
        <f>[80]Auswertung!L8</f>
        <v>37.8956754346857</v>
      </c>
      <c r="C8" s="309">
        <f>[80]Auswertung!M8</f>
        <v>8.29246544806063</v>
      </c>
      <c r="D8" s="309">
        <f>[80]Auswertung!N8</f>
        <v>51.8234507356219</v>
      </c>
      <c r="E8" s="309">
        <f>[80]Auswertung!O8</f>
        <v>0</v>
      </c>
      <c r="F8" s="335">
        <f>[80]Auswertung!P8</f>
        <v>1.98840838163174</v>
      </c>
      <c r="G8" s="309">
        <f>[80]Auswertung!R8</f>
        <v>0</v>
      </c>
      <c r="H8" s="309">
        <f>[80]Auswertung!Q8</f>
        <v>0</v>
      </c>
      <c r="I8" s="335"/>
      <c r="J8" s="309">
        <f>[80]Auswertung!S8</f>
        <v>36.1774193548387</v>
      </c>
      <c r="K8" s="335">
        <f t="shared" si="0"/>
        <v>100</v>
      </c>
    </row>
    <row r="9" spans="1:11">
      <c r="A9" s="308">
        <f>[76]Auswertung!K9</f>
        <v>43101</v>
      </c>
      <c r="B9" s="309">
        <f>[80]Auswertung!L9</f>
        <v>34.8327169519223</v>
      </c>
      <c r="C9" s="309">
        <f>[80]Auswertung!M9</f>
        <v>11.4388922335942</v>
      </c>
      <c r="D9" s="309">
        <f>[80]Auswertung!N9</f>
        <v>48.8432097703621</v>
      </c>
      <c r="E9" s="309">
        <f>[80]Auswertung!O9</f>
        <v>0</v>
      </c>
      <c r="F9" s="335">
        <f>[80]Auswertung!P9</f>
        <v>2.21897307990023</v>
      </c>
      <c r="G9" s="309">
        <f>[80]Auswertung!R9</f>
        <v>2.66620796422121</v>
      </c>
      <c r="H9" s="309">
        <f>[80]Auswertung!Q9</f>
        <v>0</v>
      </c>
      <c r="I9" s="335"/>
      <c r="J9" s="309">
        <f>[80]Auswertung!S9</f>
        <v>37.5064516129032</v>
      </c>
      <c r="K9" s="335">
        <f t="shared" si="0"/>
        <v>100</v>
      </c>
    </row>
    <row r="10" spans="1:11">
      <c r="A10" s="308">
        <f>[76]Auswertung!K10</f>
        <v>43132</v>
      </c>
      <c r="B10" s="309">
        <f>[80]Auswertung!L10</f>
        <v>31.3791807591131</v>
      </c>
      <c r="C10" s="309">
        <f>[80]Auswertung!M10</f>
        <v>13.8105975197294</v>
      </c>
      <c r="D10" s="309">
        <f>[80]Auswertung!N10</f>
        <v>50.6106726794438</v>
      </c>
      <c r="E10" s="309">
        <f>[80]Auswertung!O10</f>
        <v>0</v>
      </c>
      <c r="F10" s="335">
        <f>[80]Auswertung!P10</f>
        <v>1.56895903795565</v>
      </c>
      <c r="G10" s="309">
        <f>[80]Auswertung!R10</f>
        <v>2.63059000375799</v>
      </c>
      <c r="H10" s="309">
        <f>[80]Auswertung!Q10</f>
        <v>0</v>
      </c>
      <c r="I10" s="335"/>
      <c r="J10" s="309">
        <f>[80]Auswertung!S10</f>
        <v>34.3354838709677</v>
      </c>
      <c r="K10" s="335">
        <f t="shared" si="0"/>
        <v>100</v>
      </c>
    </row>
    <row r="11" spans="1:11">
      <c r="A11" s="308">
        <f>[76]Auswertung!K11</f>
        <v>43160</v>
      </c>
      <c r="B11" s="309">
        <f>[80]Auswertung!L11</f>
        <v>32.628936928184</v>
      </c>
      <c r="C11" s="309">
        <f>[80]Auswertung!M11</f>
        <v>15.0595093514695</v>
      </c>
      <c r="D11" s="309">
        <f>[80]Auswertung!N11</f>
        <v>48.8624402882358</v>
      </c>
      <c r="E11" s="309">
        <f>[80]Auswertung!O11</f>
        <v>0</v>
      </c>
      <c r="F11" s="335">
        <f>[80]Auswertung!P11</f>
        <v>0.939195206865841</v>
      </c>
      <c r="G11" s="309">
        <f>[80]Auswertung!R11</f>
        <v>2.50991822524492</v>
      </c>
      <c r="H11" s="309">
        <f>[80]Auswertung!Q11</f>
        <v>0</v>
      </c>
      <c r="I11" s="335"/>
      <c r="J11" s="309">
        <f>[80]Auswertung!S11</f>
        <v>44.1107142857143</v>
      </c>
      <c r="K11" s="335">
        <f t="shared" si="0"/>
        <v>100</v>
      </c>
    </row>
    <row r="12" spans="1:11">
      <c r="A12" s="308">
        <f>[76]Auswertung!K12</f>
        <v>43191</v>
      </c>
      <c r="B12" s="309">
        <f>[80]Auswertung!L12</f>
        <v>33.5714900576741</v>
      </c>
      <c r="C12" s="309">
        <f>[80]Auswertung!M12</f>
        <v>15.1071705259533</v>
      </c>
      <c r="D12" s="309">
        <f>[80]Auswertung!N12</f>
        <v>47.4563140225531</v>
      </c>
      <c r="E12" s="309">
        <f>[80]Auswertung!O12</f>
        <v>0</v>
      </c>
      <c r="F12" s="335">
        <f>[80]Auswertung!P12</f>
        <v>1.28260308169063</v>
      </c>
      <c r="G12" s="309">
        <f>[80]Auswertung!R12</f>
        <v>2.58242231212878</v>
      </c>
      <c r="H12" s="309">
        <f>[80]Auswertung!Q12</f>
        <v>0</v>
      </c>
      <c r="I12" s="335"/>
      <c r="J12" s="309">
        <f>[80]Auswertung!S12</f>
        <v>37.4741935483871</v>
      </c>
      <c r="K12" s="335">
        <f t="shared" si="0"/>
        <v>100</v>
      </c>
    </row>
    <row r="13" spans="1:11">
      <c r="A13" s="308">
        <f>[76]Auswertung!K13</f>
        <v>43221</v>
      </c>
      <c r="B13" s="309">
        <f>[80]Auswertung!L13</f>
        <v>34.4444444444444</v>
      </c>
      <c r="C13" s="309">
        <f>[80]Auswertung!M13</f>
        <v>13.1623931623932</v>
      </c>
      <c r="D13" s="309">
        <f>[80]Auswertung!N13</f>
        <v>45.4700854700855</v>
      </c>
      <c r="E13" s="309">
        <f>[80]Auswertung!O13</f>
        <v>4.18803418803419</v>
      </c>
      <c r="F13" s="335">
        <f>[80]Auswertung!P13</f>
        <v>0.0854700854700855</v>
      </c>
      <c r="G13" s="309">
        <f>[80]Auswertung!R13</f>
        <v>2.64957264957265</v>
      </c>
      <c r="H13" s="309">
        <f>[80]Auswertung!Q13</f>
        <v>0</v>
      </c>
      <c r="I13" s="335"/>
      <c r="J13" s="309">
        <f>[80]Auswertung!S13</f>
        <v>39</v>
      </c>
      <c r="K13" s="335">
        <f t="shared" si="0"/>
        <v>100</v>
      </c>
    </row>
    <row r="14" spans="1:11">
      <c r="A14" s="308">
        <f>[76]Auswertung!K14</f>
        <v>43252</v>
      </c>
      <c r="B14" s="309">
        <f>[80]Auswertung!L14</f>
        <v>37.956204379562</v>
      </c>
      <c r="C14" s="309">
        <f>[80]Auswertung!M14</f>
        <v>12.0681265206813</v>
      </c>
      <c r="D14" s="309">
        <f>[80]Auswertung!N14</f>
        <v>37.956204379562</v>
      </c>
      <c r="E14" s="309">
        <f>[80]Auswertung!O14</f>
        <v>9.09975669099757</v>
      </c>
      <c r="F14" s="335">
        <f>[80]Auswertung!P14</f>
        <v>0</v>
      </c>
      <c r="G14" s="309">
        <f>[80]Auswertung!R14</f>
        <v>2.91970802919708</v>
      </c>
      <c r="H14" s="309">
        <f>[80]Auswertung!Q14</f>
        <v>0</v>
      </c>
      <c r="I14" s="335"/>
      <c r="J14" s="309">
        <f>[80]Auswertung!S14</f>
        <v>33.1451612903226</v>
      </c>
      <c r="K14" s="335">
        <f t="shared" si="0"/>
        <v>100</v>
      </c>
    </row>
    <row r="15" spans="1:11">
      <c r="A15" s="310">
        <f>[76]Auswertung!K15</f>
        <v>43282</v>
      </c>
      <c r="B15" s="311">
        <f>[80]Auswertung!L15</f>
        <v>31.8829113924051</v>
      </c>
      <c r="C15" s="311">
        <f>[80]Auswertung!M15</f>
        <v>11.2341772151899</v>
      </c>
      <c r="D15" s="311">
        <f>[80]Auswertung!N15</f>
        <v>42.2072784810127</v>
      </c>
      <c r="E15" s="311">
        <f>[80]Auswertung!O15</f>
        <v>10.996835443038</v>
      </c>
      <c r="F15" s="336">
        <f>[80]Auswertung!P15</f>
        <v>0.276898734177215</v>
      </c>
      <c r="G15" s="311">
        <f>[80]Auswertung!R15</f>
        <v>2.45253164556962</v>
      </c>
      <c r="H15" s="311">
        <f>[80]Auswertung!Q15</f>
        <v>0.949367088607595</v>
      </c>
      <c r="I15" s="336"/>
      <c r="J15" s="311">
        <f>[80]Auswertung!S15</f>
        <v>42.1333333333333</v>
      </c>
      <c r="K15" s="335">
        <f t="shared" si="0"/>
        <v>100</v>
      </c>
    </row>
    <row r="16" spans="1:11">
      <c r="A16" s="312" t="str">
        <f>[76]Auswertung!K16</f>
        <v>Jahresmenge</v>
      </c>
      <c r="B16" s="309">
        <f>[80]Auswertung!$L$16</f>
        <v>38.5426080208071</v>
      </c>
      <c r="C16" s="309">
        <f>[80]Auswertung!M16</f>
        <v>10.4539068376815</v>
      </c>
      <c r="D16" s="309">
        <f>[80]Auswertung!N16</f>
        <v>44.7996930272106</v>
      </c>
      <c r="E16" s="309">
        <f>[80]Auswertung!O16</f>
        <v>3.30390402147576</v>
      </c>
      <c r="F16" s="335">
        <f>[80]Auswertung!$P$16</f>
        <v>1.00561018500852</v>
      </c>
      <c r="G16" s="309">
        <f>[80]Auswertung!R16</f>
        <v>1.53424590247435</v>
      </c>
      <c r="H16" s="309">
        <f>[80]Auswertung!Q16</f>
        <v>0.360032005342133</v>
      </c>
      <c r="I16" s="335"/>
      <c r="J16" s="309">
        <f>[80]Auswertung!S16</f>
        <v>40.2098265488991</v>
      </c>
      <c r="K16" s="335">
        <f t="shared" si="0"/>
        <v>100</v>
      </c>
    </row>
    <row r="17" spans="1:11">
      <c r="A17" s="306"/>
      <c r="B17" s="306"/>
      <c r="C17" s="306"/>
      <c r="D17" s="306"/>
      <c r="E17" s="306"/>
      <c r="F17" s="306"/>
      <c r="G17" s="306"/>
      <c r="H17" s="306"/>
      <c r="I17" s="306"/>
      <c r="J17" s="309"/>
      <c r="K17" s="306"/>
    </row>
    <row r="18" spans="1:11">
      <c r="A18" s="306"/>
      <c r="B18" s="309">
        <f>B16+C16+G16+H16</f>
        <v>50.8907927663051</v>
      </c>
      <c r="C18" s="306"/>
      <c r="D18" s="306"/>
      <c r="E18" s="306"/>
      <c r="F18" s="306"/>
      <c r="G18" s="306"/>
      <c r="H18" s="306"/>
      <c r="I18" s="306"/>
      <c r="J18" s="306"/>
      <c r="K18" s="306"/>
    </row>
    <row r="19" spans="1:11">
      <c r="A19" s="306"/>
      <c r="B19" s="306"/>
      <c r="C19" s="306"/>
      <c r="D19" s="309">
        <f>AVERAGE(C4:C8)</f>
        <v>6.71320310463354</v>
      </c>
      <c r="E19" s="309">
        <f>AVERAGE(C9:C15)</f>
        <v>13.125838075573</v>
      </c>
      <c r="F19" s="306"/>
      <c r="G19" s="306"/>
      <c r="H19" s="306"/>
      <c r="I19" s="306"/>
      <c r="J19" s="306"/>
      <c r="K19" s="306"/>
    </row>
    <row r="21" spans="2:5">
      <c r="B21" s="306"/>
      <c r="C21" s="306"/>
      <c r="D21" s="306"/>
      <c r="E21" s="306"/>
    </row>
    <row r="22" spans="2:5">
      <c r="B22" s="306"/>
      <c r="C22" s="435" t="s">
        <v>104</v>
      </c>
      <c r="D22" s="314" t="s">
        <v>22</v>
      </c>
      <c r="E22" s="314" t="s">
        <v>23</v>
      </c>
    </row>
    <row r="23" ht="34" spans="2:5">
      <c r="B23" s="312"/>
      <c r="C23" s="314"/>
      <c r="D23" s="317" t="s">
        <v>388</v>
      </c>
      <c r="E23" s="337" t="s">
        <v>388</v>
      </c>
    </row>
    <row r="24" spans="2:5">
      <c r="B24" s="312"/>
      <c r="C24" s="436"/>
      <c r="D24" s="319" t="s">
        <v>389</v>
      </c>
      <c r="E24" s="338" t="s">
        <v>389</v>
      </c>
    </row>
    <row r="25" spans="2:5">
      <c r="B25" s="306"/>
      <c r="C25" s="437">
        <f t="shared" ref="C25:C36" si="1">A4</f>
        <v>42948</v>
      </c>
      <c r="D25" s="321">
        <v>0.248406326520424</v>
      </c>
      <c r="E25" s="321"/>
    </row>
    <row r="26" spans="2:5">
      <c r="B26" s="306"/>
      <c r="C26" s="438">
        <f t="shared" si="1"/>
        <v>42979</v>
      </c>
      <c r="D26" s="323">
        <v>0.168630482725017</v>
      </c>
      <c r="E26" s="323"/>
    </row>
    <row r="27" spans="2:5">
      <c r="B27" s="306"/>
      <c r="C27" s="438">
        <f t="shared" si="1"/>
        <v>43009</v>
      </c>
      <c r="D27" s="323">
        <v>0.201001473380549</v>
      </c>
      <c r="E27" s="323"/>
    </row>
    <row r="28" spans="2:5">
      <c r="B28" s="306"/>
      <c r="C28" s="438">
        <f t="shared" si="1"/>
        <v>43040</v>
      </c>
      <c r="D28" s="323">
        <v>0.193553962108667</v>
      </c>
      <c r="E28" s="323"/>
    </row>
    <row r="29" spans="2:5">
      <c r="B29" s="306"/>
      <c r="C29" s="438">
        <f t="shared" si="1"/>
        <v>43070</v>
      </c>
      <c r="D29" s="323">
        <v>0.221082377429958</v>
      </c>
      <c r="E29" s="323"/>
    </row>
    <row r="30" spans="2:5">
      <c r="B30" s="306"/>
      <c r="C30" s="438">
        <f t="shared" si="1"/>
        <v>43101</v>
      </c>
      <c r="D30" s="323">
        <v>0.204814647971761</v>
      </c>
      <c r="E30" s="323"/>
    </row>
    <row r="31" spans="2:5">
      <c r="B31" s="306"/>
      <c r="C31" s="438">
        <f t="shared" si="1"/>
        <v>43132</v>
      </c>
      <c r="D31" s="323" t="s">
        <v>885</v>
      </c>
      <c r="E31" s="323"/>
    </row>
    <row r="32" spans="2:5">
      <c r="B32" s="306"/>
      <c r="C32" s="438">
        <f t="shared" si="1"/>
        <v>43160</v>
      </c>
      <c r="D32" s="323">
        <v>0.147872207265217</v>
      </c>
      <c r="E32" s="323"/>
    </row>
    <row r="33" spans="2:5">
      <c r="B33" s="306"/>
      <c r="C33" s="438">
        <f t="shared" si="1"/>
        <v>43191</v>
      </c>
      <c r="D33" s="323" t="s">
        <v>885</v>
      </c>
      <c r="E33" s="323"/>
    </row>
    <row r="34" spans="2:5">
      <c r="B34" s="306"/>
      <c r="C34" s="438">
        <f t="shared" si="1"/>
        <v>43221</v>
      </c>
      <c r="D34" s="323">
        <v>0.168661970902717</v>
      </c>
      <c r="E34" s="323"/>
    </row>
    <row r="35" spans="2:5">
      <c r="B35" s="306"/>
      <c r="C35" s="438">
        <f t="shared" si="1"/>
        <v>43252</v>
      </c>
      <c r="D35" s="323">
        <v>0.160955088393097</v>
      </c>
      <c r="E35" s="321"/>
    </row>
    <row r="36" spans="2:5">
      <c r="B36" s="306"/>
      <c r="C36" s="439">
        <f t="shared" si="1"/>
        <v>43282</v>
      </c>
      <c r="D36" s="325">
        <v>0.200409221650276</v>
      </c>
      <c r="E36" s="323"/>
    </row>
    <row r="37" ht="17.55" spans="2:5">
      <c r="B37" s="306"/>
      <c r="C37" s="440" t="s">
        <v>390</v>
      </c>
      <c r="D37" s="327">
        <f>[76]Auswertung!O208</f>
        <v>0.116871559842547</v>
      </c>
      <c r="E37" s="441"/>
    </row>
    <row r="38" ht="17.55" spans="2:5">
      <c r="B38" s="306"/>
      <c r="C38" s="306"/>
      <c r="D38" s="306"/>
      <c r="E38" s="306"/>
    </row>
    <row r="39" spans="2:5">
      <c r="B39" s="306"/>
      <c r="C39" s="306"/>
      <c r="D39" s="306"/>
      <c r="E39" s="306"/>
    </row>
    <row r="46" ht="30.25" customHeight="1" spans="2:12">
      <c r="B46" s="343" t="s">
        <v>391</v>
      </c>
      <c r="C46" s="343" t="s">
        <v>391</v>
      </c>
      <c r="K46" s="446" t="s">
        <v>420</v>
      </c>
      <c r="L46" s="446"/>
    </row>
    <row r="47" ht="84" spans="1:14">
      <c r="A47" s="306"/>
      <c r="B47" s="328" t="s">
        <v>393</v>
      </c>
      <c r="C47" s="328" t="s">
        <v>394</v>
      </c>
      <c r="D47" s="328" t="s">
        <v>395</v>
      </c>
      <c r="E47" s="328" t="s">
        <v>396</v>
      </c>
      <c r="F47" s="328" t="s">
        <v>183</v>
      </c>
      <c r="G47" s="328" t="s">
        <v>184</v>
      </c>
      <c r="H47" s="328" t="s">
        <v>397</v>
      </c>
      <c r="I47" s="328" t="s">
        <v>398</v>
      </c>
      <c r="J47" s="328" t="s">
        <v>399</v>
      </c>
      <c r="K47" s="328" t="s">
        <v>400</v>
      </c>
      <c r="L47" s="328" t="s">
        <v>401</v>
      </c>
      <c r="M47" s="343"/>
      <c r="N47" s="343"/>
    </row>
    <row r="48" ht="34" spans="1:24">
      <c r="A48" s="307" t="s">
        <v>154</v>
      </c>
      <c r="B48" s="329" t="s">
        <v>185</v>
      </c>
      <c r="C48" s="329" t="s">
        <v>185</v>
      </c>
      <c r="D48" s="329" t="s">
        <v>185</v>
      </c>
      <c r="E48" s="329" t="s">
        <v>185</v>
      </c>
      <c r="F48" s="329" t="s">
        <v>59</v>
      </c>
      <c r="G48" s="329" t="s">
        <v>402</v>
      </c>
      <c r="H48" s="329" t="s">
        <v>185</v>
      </c>
      <c r="I48" s="329" t="s">
        <v>403</v>
      </c>
      <c r="J48" s="329" t="s">
        <v>404</v>
      </c>
      <c r="K48" s="329" t="s">
        <v>122</v>
      </c>
      <c r="L48" s="329" t="s">
        <v>122</v>
      </c>
      <c r="M48" s="343"/>
      <c r="N48" s="343"/>
      <c r="X48" s="345"/>
    </row>
    <row r="49" ht="20.4" spans="1:16">
      <c r="A49" s="308">
        <f t="shared" ref="A49:A60" si="2">C25</f>
        <v>42948</v>
      </c>
      <c r="B49" s="330">
        <f>[80]Biogas_Nm!G10</f>
        <v>345780.113867726</v>
      </c>
      <c r="C49" s="330">
        <f t="shared" ref="C49:C60" si="3">B49/(L49/K49)</f>
        <v>309653.833314381</v>
      </c>
      <c r="D49" s="331"/>
      <c r="E49" s="330">
        <v>93022.5</v>
      </c>
      <c r="F49" s="442">
        <f t="shared" ref="F49:F60" si="4">B49/K49/J49*100</f>
        <v>88.9352144721516</v>
      </c>
      <c r="G49" s="443">
        <f>E49/L49/J49*100</f>
        <v>21.4258568269762</v>
      </c>
      <c r="H49" s="335">
        <f>E49/L49/J49</f>
        <v>0.214258568269762</v>
      </c>
      <c r="I49" s="306">
        <v>30</v>
      </c>
      <c r="J49" s="306">
        <f t="shared" ref="J49:J60" si="5">I49*24</f>
        <v>720</v>
      </c>
      <c r="K49" s="331">
        <v>540</v>
      </c>
      <c r="L49" s="331">
        <v>603</v>
      </c>
      <c r="N49" s="447"/>
      <c r="O49" s="448"/>
      <c r="P49" s="448"/>
    </row>
    <row r="50" spans="1:12">
      <c r="A50" s="308">
        <f t="shared" si="2"/>
        <v>42979</v>
      </c>
      <c r="B50" s="330">
        <f>[80]Biogas_Nm!G11</f>
        <v>327662.057850617</v>
      </c>
      <c r="C50" s="330">
        <f t="shared" si="3"/>
        <v>293428.708522941</v>
      </c>
      <c r="D50" s="331"/>
      <c r="E50" s="330">
        <v>186045</v>
      </c>
      <c r="F50" s="442">
        <f t="shared" si="4"/>
        <v>81.5566651360557</v>
      </c>
      <c r="G50" s="443">
        <f t="shared" ref="G50:G60" si="6">E50/L50/J50*100</f>
        <v>41.4694003102766</v>
      </c>
      <c r="H50" s="335">
        <f t="shared" ref="H50:H60" si="7">E50/L50/J50</f>
        <v>0.414694003102766</v>
      </c>
      <c r="I50" s="306">
        <v>31</v>
      </c>
      <c r="J50" s="306">
        <f t="shared" si="5"/>
        <v>744</v>
      </c>
      <c r="K50" s="331">
        <v>540</v>
      </c>
      <c r="L50" s="331">
        <v>603</v>
      </c>
    </row>
    <row r="51" spans="1:12">
      <c r="A51" s="308">
        <f t="shared" si="2"/>
        <v>43009</v>
      </c>
      <c r="B51" s="330">
        <f>[80]Biogas_Nm!G12</f>
        <v>325132.833650298</v>
      </c>
      <c r="C51" s="330">
        <f t="shared" si="3"/>
        <v>291163.731627133</v>
      </c>
      <c r="D51" s="331"/>
      <c r="E51" s="330">
        <v>200029.5</v>
      </c>
      <c r="F51" s="442">
        <f t="shared" si="4"/>
        <v>83.6247000129367</v>
      </c>
      <c r="G51" s="443">
        <f t="shared" si="6"/>
        <v>46.0727611940299</v>
      </c>
      <c r="H51" s="335">
        <f t="shared" si="7"/>
        <v>0.460727611940298</v>
      </c>
      <c r="I51" s="306">
        <v>30</v>
      </c>
      <c r="J51" s="306">
        <f t="shared" si="5"/>
        <v>720</v>
      </c>
      <c r="K51" s="331">
        <v>540</v>
      </c>
      <c r="L51" s="331">
        <v>603</v>
      </c>
    </row>
    <row r="52" spans="1:12">
      <c r="A52" s="308">
        <f t="shared" si="2"/>
        <v>43040</v>
      </c>
      <c r="B52" s="330">
        <f>[80]Biogas_Nm!G13</f>
        <v>315497.04977941</v>
      </c>
      <c r="C52" s="330">
        <f t="shared" si="3"/>
        <v>282534.671444247</v>
      </c>
      <c r="D52" s="331"/>
      <c r="E52" s="330">
        <v>244480.5</v>
      </c>
      <c r="F52" s="442">
        <f t="shared" si="4"/>
        <v>78.5287360064242</v>
      </c>
      <c r="G52" s="443">
        <f t="shared" si="6"/>
        <v>54.4946637778848</v>
      </c>
      <c r="H52" s="335">
        <f t="shared" si="7"/>
        <v>0.544946637778848</v>
      </c>
      <c r="I52" s="306">
        <v>31</v>
      </c>
      <c r="J52" s="306">
        <f t="shared" si="5"/>
        <v>744</v>
      </c>
      <c r="K52" s="331">
        <v>540</v>
      </c>
      <c r="L52" s="331">
        <v>603</v>
      </c>
    </row>
    <row r="53" spans="1:12">
      <c r="A53" s="308">
        <f t="shared" si="2"/>
        <v>43070</v>
      </c>
      <c r="B53" s="330">
        <f>[80]Biogas_Nm!G14</f>
        <v>345517.337327433</v>
      </c>
      <c r="C53" s="330">
        <f t="shared" si="3"/>
        <v>309418.511039492</v>
      </c>
      <c r="D53" s="331"/>
      <c r="E53" s="330">
        <v>296340</v>
      </c>
      <c r="F53" s="442">
        <f t="shared" si="4"/>
        <v>86.0009302388074</v>
      </c>
      <c r="G53" s="443">
        <f t="shared" si="6"/>
        <v>66.0541379125876</v>
      </c>
      <c r="H53" s="335">
        <f t="shared" si="7"/>
        <v>0.660541379125876</v>
      </c>
      <c r="I53" s="306">
        <v>31</v>
      </c>
      <c r="J53" s="306">
        <f t="shared" si="5"/>
        <v>744</v>
      </c>
      <c r="K53" s="331">
        <v>540</v>
      </c>
      <c r="L53" s="331">
        <v>603</v>
      </c>
    </row>
    <row r="54" spans="1:12">
      <c r="A54" s="308">
        <f t="shared" si="2"/>
        <v>43101</v>
      </c>
      <c r="B54" s="330">
        <f>[80]Biogas_Nm!G15</f>
        <v>337267.56756</v>
      </c>
      <c r="C54" s="330">
        <f t="shared" si="3"/>
        <v>302030.657516418</v>
      </c>
      <c r="D54" s="331"/>
      <c r="E54" s="330">
        <v>303019.5</v>
      </c>
      <c r="F54" s="442">
        <f t="shared" si="4"/>
        <v>92.9419002314815</v>
      </c>
      <c r="G54" s="443">
        <f t="shared" si="6"/>
        <v>74.7797470978441</v>
      </c>
      <c r="H54" s="335">
        <f t="shared" si="7"/>
        <v>0.747797470978441</v>
      </c>
      <c r="I54" s="306">
        <v>28</v>
      </c>
      <c r="J54" s="306">
        <f t="shared" si="5"/>
        <v>672</v>
      </c>
      <c r="K54" s="331">
        <v>540</v>
      </c>
      <c r="L54" s="331">
        <v>603</v>
      </c>
    </row>
    <row r="55" spans="1:12">
      <c r="A55" s="308">
        <f t="shared" si="2"/>
        <v>43132</v>
      </c>
      <c r="B55" s="330">
        <f>[80]Biogas_Nm!G16</f>
        <v>312002.22672</v>
      </c>
      <c r="C55" s="330">
        <f t="shared" si="3"/>
        <v>279404.979152239</v>
      </c>
      <c r="D55" s="331"/>
      <c r="E55" s="330">
        <v>285704.1</v>
      </c>
      <c r="F55" s="442">
        <f t="shared" si="4"/>
        <v>77.6588577060932</v>
      </c>
      <c r="G55" s="443">
        <f t="shared" si="6"/>
        <v>63.6833975284866</v>
      </c>
      <c r="H55" s="335">
        <f t="shared" si="7"/>
        <v>0.636833975284866</v>
      </c>
      <c r="I55" s="306">
        <v>31</v>
      </c>
      <c r="J55" s="306">
        <f t="shared" si="5"/>
        <v>744</v>
      </c>
      <c r="K55" s="331">
        <v>540</v>
      </c>
      <c r="L55" s="331">
        <v>603</v>
      </c>
    </row>
    <row r="56" spans="1:12">
      <c r="A56" s="308">
        <f t="shared" si="2"/>
        <v>43160</v>
      </c>
      <c r="B56" s="330">
        <f>[80]Biogas_Nm!G17</f>
        <v>348148.02588</v>
      </c>
      <c r="C56" s="330">
        <f t="shared" si="3"/>
        <v>311774.351534328</v>
      </c>
      <c r="D56" s="331"/>
      <c r="E56" s="330">
        <v>277046.4</v>
      </c>
      <c r="F56" s="442">
        <f t="shared" si="4"/>
        <v>89.5442453395062</v>
      </c>
      <c r="G56" s="443">
        <f t="shared" si="6"/>
        <v>63.812050856827</v>
      </c>
      <c r="H56" s="335">
        <f t="shared" si="7"/>
        <v>0.63812050856827</v>
      </c>
      <c r="I56" s="306">
        <v>30</v>
      </c>
      <c r="J56" s="306">
        <f t="shared" si="5"/>
        <v>720</v>
      </c>
      <c r="K56" s="331">
        <v>540</v>
      </c>
      <c r="L56" s="331">
        <v>603</v>
      </c>
    </row>
    <row r="57" spans="1:12">
      <c r="A57" s="308">
        <f t="shared" si="2"/>
        <v>43191</v>
      </c>
      <c r="B57" s="330">
        <f>[80]Biogas_Nm!G18</f>
        <v>304495.5408</v>
      </c>
      <c r="C57" s="330">
        <f t="shared" si="3"/>
        <v>272682.573850746</v>
      </c>
      <c r="D57" s="331"/>
      <c r="E57" s="330">
        <v>162203</v>
      </c>
      <c r="F57" s="442">
        <f t="shared" si="4"/>
        <v>75.7904074074074</v>
      </c>
      <c r="G57" s="443">
        <f t="shared" si="6"/>
        <v>36.1550223791437</v>
      </c>
      <c r="H57" s="335">
        <f t="shared" si="7"/>
        <v>0.361550223791437</v>
      </c>
      <c r="I57" s="306">
        <v>31</v>
      </c>
      <c r="J57" s="306">
        <f t="shared" si="5"/>
        <v>744</v>
      </c>
      <c r="K57" s="331">
        <v>540</v>
      </c>
      <c r="L57" s="331">
        <v>603</v>
      </c>
    </row>
    <row r="58" spans="1:12">
      <c r="A58" s="308">
        <f t="shared" si="2"/>
        <v>43221</v>
      </c>
      <c r="B58" s="330">
        <f>[80]Biogas_Nm!G19</f>
        <v>309466.49652</v>
      </c>
      <c r="C58" s="330">
        <f t="shared" si="3"/>
        <v>277134.17598806</v>
      </c>
      <c r="D58" s="331"/>
      <c r="E58" s="330">
        <v>136592</v>
      </c>
      <c r="F58" s="442">
        <f t="shared" si="4"/>
        <v>79.5952923148148</v>
      </c>
      <c r="G58" s="443">
        <f t="shared" si="6"/>
        <v>31.4612124562373</v>
      </c>
      <c r="H58" s="335">
        <f t="shared" si="7"/>
        <v>0.314612124562373</v>
      </c>
      <c r="I58" s="306">
        <v>30</v>
      </c>
      <c r="J58" s="306">
        <f t="shared" si="5"/>
        <v>720</v>
      </c>
      <c r="K58" s="331">
        <v>540</v>
      </c>
      <c r="L58" s="331">
        <v>603</v>
      </c>
    </row>
    <row r="59" spans="1:12">
      <c r="A59" s="308">
        <f t="shared" si="2"/>
        <v>43252</v>
      </c>
      <c r="B59" s="330">
        <f>[80]Biogas_Nm!G20</f>
        <v>253701.20544</v>
      </c>
      <c r="C59" s="330">
        <f t="shared" si="3"/>
        <v>227195.109349254</v>
      </c>
      <c r="D59" s="331"/>
      <c r="E59" s="330">
        <v>128055</v>
      </c>
      <c r="F59" s="442">
        <f t="shared" si="4"/>
        <v>63.1474525686977</v>
      </c>
      <c r="G59" s="443">
        <f t="shared" si="6"/>
        <v>28.5434387203766</v>
      </c>
      <c r="H59" s="335">
        <f t="shared" si="7"/>
        <v>0.285434387203766</v>
      </c>
      <c r="I59" s="306">
        <v>31</v>
      </c>
      <c r="J59" s="306">
        <f t="shared" si="5"/>
        <v>744</v>
      </c>
      <c r="K59" s="331">
        <v>540</v>
      </c>
      <c r="L59" s="331">
        <v>603</v>
      </c>
    </row>
    <row r="60" spans="1:12">
      <c r="A60" s="310">
        <f t="shared" si="2"/>
        <v>43282</v>
      </c>
      <c r="B60" s="333">
        <f>[80]Biogas_Nm!G21</f>
        <v>291983.30484</v>
      </c>
      <c r="C60" s="333">
        <f t="shared" si="3"/>
        <v>261477.586423881</v>
      </c>
      <c r="D60" s="334"/>
      <c r="E60" s="333">
        <v>67982.5</v>
      </c>
      <c r="F60" s="444">
        <f t="shared" si="4"/>
        <v>75.0985866358025</v>
      </c>
      <c r="G60" s="445">
        <f t="shared" si="6"/>
        <v>15.6583978256864</v>
      </c>
      <c r="H60" s="336">
        <f t="shared" si="7"/>
        <v>0.156583978256864</v>
      </c>
      <c r="I60" s="307">
        <v>30</v>
      </c>
      <c r="J60" s="307">
        <f t="shared" si="5"/>
        <v>720</v>
      </c>
      <c r="K60" s="334">
        <v>540</v>
      </c>
      <c r="L60" s="334">
        <v>603</v>
      </c>
    </row>
    <row r="61" spans="1:12">
      <c r="A61" s="306" t="s">
        <v>406</v>
      </c>
      <c r="B61" s="330">
        <f t="shared" ref="B61:H61" si="8">AVERAGE(B49:B60)</f>
        <v>318054.480019624</v>
      </c>
      <c r="C61" s="330">
        <f t="shared" si="8"/>
        <v>284824.90748026</v>
      </c>
      <c r="D61" s="330" t="e">
        <f t="shared" si="8"/>
        <v>#DIV/0!</v>
      </c>
      <c r="E61" s="330">
        <f t="shared" si="8"/>
        <v>198376.666666667</v>
      </c>
      <c r="F61" s="340">
        <f t="shared" si="8"/>
        <v>81.0352490058482</v>
      </c>
      <c r="G61" s="340">
        <f t="shared" si="8"/>
        <v>45.3008405738631</v>
      </c>
      <c r="H61" s="335">
        <f t="shared" si="8"/>
        <v>0.453008405738631</v>
      </c>
      <c r="I61" s="306"/>
      <c r="J61" s="306"/>
      <c r="K61" s="306">
        <f>AVERAGE(K49:K60)</f>
        <v>540</v>
      </c>
      <c r="L61" s="306">
        <f>AVERAGE(L49:L60)</f>
        <v>603</v>
      </c>
    </row>
    <row r="62" spans="1:12">
      <c r="A62" s="306" t="s">
        <v>386</v>
      </c>
      <c r="B62" s="330">
        <f>SUM(B49:B60)</f>
        <v>3816653.76023548</v>
      </c>
      <c r="C62" s="330">
        <f>SUM(C49:C60)</f>
        <v>3417898.88976312</v>
      </c>
      <c r="D62" s="330">
        <f>SUM(D49:D60)</f>
        <v>0</v>
      </c>
      <c r="E62" s="330">
        <f>SUM(E49:E60)</f>
        <v>2380520</v>
      </c>
      <c r="F62" s="306"/>
      <c r="G62" s="306"/>
      <c r="H62" s="306"/>
      <c r="I62" s="306"/>
      <c r="J62" s="306"/>
      <c r="K62" s="306"/>
      <c r="L62" s="306"/>
    </row>
    <row r="63" spans="1:12">
      <c r="A63" s="306"/>
      <c r="B63" s="306"/>
      <c r="C63" s="306"/>
      <c r="D63" s="306"/>
      <c r="E63" s="306">
        <v>187000</v>
      </c>
      <c r="F63" s="306" t="s">
        <v>407</v>
      </c>
      <c r="G63" s="306"/>
      <c r="H63" s="306"/>
      <c r="I63" s="306"/>
      <c r="J63" s="306"/>
      <c r="K63" s="306"/>
      <c r="L63" s="306"/>
    </row>
    <row r="64" spans="1:12">
      <c r="A64" s="306"/>
      <c r="B64" s="306"/>
      <c r="C64" s="306"/>
      <c r="D64" s="306"/>
      <c r="E64" s="306"/>
      <c r="F64" s="340">
        <f>(B62+E62)/((K61+L61)*8760)</f>
        <v>0.61893256952539</v>
      </c>
      <c r="G64" s="306" t="s">
        <v>408</v>
      </c>
      <c r="H64" s="306"/>
      <c r="I64" s="306"/>
      <c r="J64" s="306"/>
      <c r="K64" s="306"/>
      <c r="L64" s="306"/>
    </row>
    <row r="65" spans="7:7">
      <c r="G65" s="305" t="s">
        <v>409</v>
      </c>
    </row>
    <row r="67" spans="6:6">
      <c r="F67" s="305">
        <f>B62/K61/8760</f>
        <v>0.806835312074134</v>
      </c>
    </row>
  </sheetData>
  <mergeCells count="1">
    <mergeCell ref="K46:L46"/>
  </mergeCells>
  <pageMargins left="0.7" right="0.7" top="0.787401575" bottom="0.787401575" header="0.3" footer="0.3"/>
  <pageSetup paperSize="9" orientation="portrait"/>
  <headerFooter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499984740745262"/>
  </sheetPr>
  <dimension ref="A1:N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3">
      <c r="A2" s="1"/>
      <c r="B2" s="2" t="s">
        <v>882</v>
      </c>
      <c r="C2" s="3"/>
      <c r="D2" s="3"/>
      <c r="E2" s="3"/>
      <c r="F2" s="3"/>
      <c r="G2" s="3"/>
      <c r="H2" s="3"/>
      <c r="I2" s="3"/>
      <c r="J2" s="3"/>
      <c r="K2" s="34"/>
      <c r="L2" s="1"/>
      <c r="M2" t="s">
        <v>77</v>
      </c>
    </row>
    <row r="3" ht="21.75" customHeight="1" spans="1:12">
      <c r="A3" s="1"/>
      <c r="B3" s="4" t="s">
        <v>2</v>
      </c>
      <c r="C3" s="5"/>
      <c r="D3" s="5"/>
      <c r="E3" s="5"/>
      <c r="F3" s="21">
        <v>540</v>
      </c>
      <c r="G3" s="22"/>
      <c r="H3" s="23" t="s">
        <v>187</v>
      </c>
      <c r="I3" s="5" t="s">
        <v>188</v>
      </c>
      <c r="J3" s="35">
        <v>3644635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v>420</v>
      </c>
      <c r="G4" s="184"/>
      <c r="H4" s="25" t="s">
        <v>187</v>
      </c>
      <c r="I4" s="7" t="s">
        <v>191</v>
      </c>
      <c r="J4" s="37">
        <v>1425444.1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92.626888979882</v>
      </c>
      <c r="H6" s="27" t="s">
        <v>195</v>
      </c>
      <c r="I6" s="1"/>
      <c r="J6" s="40">
        <v>770682.68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7.37311102011803</v>
      </c>
      <c r="H7" s="27" t="s">
        <v>195</v>
      </c>
      <c r="I7" s="1"/>
      <c r="J7" s="40">
        <v>61346.43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832029.11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45.4597801099644</v>
      </c>
      <c r="H11" s="27" t="s">
        <v>195</v>
      </c>
      <c r="I11" s="1"/>
      <c r="J11" s="40">
        <v>293413.9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f>37</f>
        <v>37</v>
      </c>
      <c r="F13" s="15" t="s">
        <v>204</v>
      </c>
      <c r="G13" s="31"/>
      <c r="H13" s="15"/>
      <c r="I13" s="15"/>
      <c r="J13" s="45">
        <v>221589.3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f>30</f>
        <v>30</v>
      </c>
      <c r="F14" s="15" t="s">
        <v>204</v>
      </c>
      <c r="G14" s="31"/>
      <c r="H14" s="15"/>
      <c r="I14" s="15"/>
      <c r="J14" s="45">
        <v>26685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145</v>
      </c>
      <c r="F15" s="15" t="s">
        <v>204</v>
      </c>
      <c r="G15" s="31"/>
      <c r="H15" s="15"/>
      <c r="I15" s="15"/>
      <c r="J15" s="45">
        <v>14659.5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5.52533112294204</v>
      </c>
      <c r="H16" s="27" t="s">
        <v>195</v>
      </c>
      <c r="I16" s="1"/>
      <c r="J16" s="40">
        <v>35662.49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11.3821527687669</v>
      </c>
      <c r="H17" s="27" t="s">
        <v>195</v>
      </c>
      <c r="I17" s="1"/>
      <c r="J17" s="40">
        <v>73464.54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16.3756048718987</v>
      </c>
      <c r="H18" s="27" t="s">
        <v>195</v>
      </c>
      <c r="I18" s="1"/>
      <c r="J18" s="40">
        <v>105694.09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21.2571311264281</v>
      </c>
      <c r="H19" s="27" t="s">
        <v>195</v>
      </c>
      <c r="I19" s="1"/>
      <c r="J19" s="40">
        <v>137201.23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74702.44</v>
      </c>
      <c r="K22" s="44" t="s">
        <v>196</v>
      </c>
      <c r="L22" s="17"/>
    </row>
    <row r="23" ht="21.75" customHeight="1" spans="1:14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  <c r="N23" t="s">
        <v>77</v>
      </c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1582.04</v>
      </c>
      <c r="K24" s="44" t="s">
        <v>196</v>
      </c>
      <c r="L24" s="15"/>
    </row>
    <row r="25" ht="21.75" customHeight="1" spans="1:13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4855</v>
      </c>
      <c r="K25" s="44" t="s">
        <v>196</v>
      </c>
      <c r="L25" s="15"/>
      <c r="M25" t="s">
        <v>77</v>
      </c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9792.71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25782.14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19253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1233.9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645436.25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22.8288733988452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17.709215051713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5.11965834713215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186592.86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B2:L58"/>
  <sheetViews>
    <sheetView zoomScale="115" zoomScaleNormal="115" workbookViewId="0">
      <selection activeCell="A1" sqref="A1"/>
    </sheetView>
  </sheetViews>
  <sheetFormatPr defaultColWidth="11.5" defaultRowHeight="16.8"/>
  <cols>
    <col min="1" max="1" width="11.5" style="354"/>
    <col min="2" max="2" width="30.5" style="354" customWidth="1"/>
    <col min="3" max="7" width="11.5" style="354"/>
    <col min="8" max="8" width="17.6634615384615" style="354" customWidth="1"/>
    <col min="9" max="9" width="11.5" style="354"/>
    <col min="10" max="10" width="13.1634615384615" style="354" customWidth="1"/>
    <col min="11" max="16384" width="11.5" style="354"/>
  </cols>
  <sheetData>
    <row r="2" ht="27.75" customHeight="1" spans="2:12">
      <c r="B2" s="291" t="s">
        <v>886</v>
      </c>
      <c r="C2" s="292"/>
      <c r="D2" s="292"/>
      <c r="E2" s="292"/>
      <c r="F2" s="292"/>
      <c r="G2" s="292"/>
      <c r="H2" s="292"/>
      <c r="I2" s="292"/>
      <c r="J2" s="292"/>
      <c r="K2" s="292"/>
      <c r="L2" s="298"/>
    </row>
    <row r="3" ht="17.6" spans="2:12">
      <c r="B3" s="230" t="s">
        <v>1</v>
      </c>
      <c r="C3" s="355"/>
      <c r="D3" s="356"/>
      <c r="E3" s="355"/>
      <c r="F3" s="355"/>
      <c r="G3" s="355"/>
      <c r="H3" s="356"/>
      <c r="I3" s="356"/>
      <c r="J3" s="355"/>
      <c r="K3" s="356"/>
      <c r="L3" s="411"/>
    </row>
    <row r="4" spans="2:12">
      <c r="B4" s="357" t="s">
        <v>2</v>
      </c>
      <c r="C4" s="358" t="s">
        <v>755</v>
      </c>
      <c r="D4" s="359"/>
      <c r="E4" s="358"/>
      <c r="F4" s="359"/>
      <c r="G4" s="359"/>
      <c r="H4" s="363"/>
      <c r="I4" s="363"/>
      <c r="J4" s="368"/>
      <c r="K4" s="368"/>
      <c r="L4" s="412"/>
    </row>
    <row r="5" spans="2:12">
      <c r="B5" s="357" t="s">
        <v>4</v>
      </c>
      <c r="C5" s="892" t="s">
        <v>887</v>
      </c>
      <c r="D5" s="359"/>
      <c r="E5" s="358"/>
      <c r="F5" s="359"/>
      <c r="G5" s="359"/>
      <c r="H5" s="363"/>
      <c r="I5" s="363"/>
      <c r="J5" s="368"/>
      <c r="K5" s="368"/>
      <c r="L5" s="412"/>
    </row>
    <row r="6" spans="2:12">
      <c r="B6" s="361" t="s">
        <v>6</v>
      </c>
      <c r="C6" s="362" t="s">
        <v>741</v>
      </c>
      <c r="D6" s="359"/>
      <c r="E6" s="363"/>
      <c r="F6" s="363"/>
      <c r="G6" s="363"/>
      <c r="H6" s="363"/>
      <c r="I6" s="363"/>
      <c r="J6" s="368"/>
      <c r="K6" s="368"/>
      <c r="L6" s="412"/>
    </row>
    <row r="7" spans="2:12">
      <c r="B7" s="357" t="s">
        <v>230</v>
      </c>
      <c r="C7" s="59" t="s">
        <v>369</v>
      </c>
      <c r="D7" s="359"/>
      <c r="E7" s="363"/>
      <c r="F7" s="363"/>
      <c r="G7" s="363"/>
      <c r="H7" s="363"/>
      <c r="I7" s="363"/>
      <c r="J7" s="368"/>
      <c r="K7" s="368"/>
      <c r="L7" s="412"/>
    </row>
    <row r="8" spans="2:12">
      <c r="B8" s="357" t="s">
        <v>231</v>
      </c>
      <c r="C8" s="59" t="s">
        <v>757</v>
      </c>
      <c r="D8" s="359"/>
      <c r="E8" s="363"/>
      <c r="F8" s="363"/>
      <c r="G8" s="363"/>
      <c r="H8" s="363"/>
      <c r="I8" s="363"/>
      <c r="J8" s="368"/>
      <c r="K8" s="368"/>
      <c r="L8" s="412"/>
    </row>
    <row r="9" spans="2:12">
      <c r="B9" s="361" t="s">
        <v>12</v>
      </c>
      <c r="C9" s="363" t="s">
        <v>13</v>
      </c>
      <c r="D9" s="359"/>
      <c r="E9" s="363"/>
      <c r="F9" s="363"/>
      <c r="G9" s="363"/>
      <c r="H9" s="363"/>
      <c r="I9" s="363"/>
      <c r="J9" s="363"/>
      <c r="K9" s="363"/>
      <c r="L9" s="412"/>
    </row>
    <row r="10" spans="2:12">
      <c r="B10" s="364" t="s">
        <v>232</v>
      </c>
      <c r="C10" s="363" t="s">
        <v>603</v>
      </c>
      <c r="D10" s="359"/>
      <c r="E10" s="363"/>
      <c r="F10" s="363"/>
      <c r="G10" s="363"/>
      <c r="H10" s="363"/>
      <c r="I10" s="363"/>
      <c r="J10" s="363"/>
      <c r="K10" s="363"/>
      <c r="L10" s="412"/>
    </row>
    <row r="11" spans="2:12">
      <c r="B11" s="365"/>
      <c r="C11" s="366"/>
      <c r="D11" s="366"/>
      <c r="E11" s="366"/>
      <c r="F11" s="366"/>
      <c r="G11" s="366"/>
      <c r="H11" s="366"/>
      <c r="I11" s="366"/>
      <c r="J11" s="366"/>
      <c r="K11" s="366"/>
      <c r="L11" s="413"/>
    </row>
    <row r="12" ht="17.6" spans="2:12">
      <c r="B12" s="367" t="s">
        <v>19</v>
      </c>
      <c r="C12" s="368"/>
      <c r="D12" s="369"/>
      <c r="E12" s="369"/>
      <c r="F12" s="369"/>
      <c r="G12" s="369"/>
      <c r="H12" s="398"/>
      <c r="I12" s="414" t="s">
        <v>20</v>
      </c>
      <c r="J12" s="415"/>
      <c r="K12" s="368"/>
      <c r="L12" s="412"/>
    </row>
    <row r="13" spans="2:12">
      <c r="B13" s="370" t="s">
        <v>233</v>
      </c>
      <c r="C13" s="368"/>
      <c r="D13" s="371" t="s">
        <v>22</v>
      </c>
      <c r="E13" s="371" t="s">
        <v>22</v>
      </c>
      <c r="F13" s="371" t="s">
        <v>23</v>
      </c>
      <c r="G13" s="372"/>
      <c r="H13" s="398" t="s">
        <v>24</v>
      </c>
      <c r="I13" s="368"/>
      <c r="J13" s="363"/>
      <c r="K13" s="363" t="s">
        <v>25</v>
      </c>
      <c r="L13" s="416"/>
    </row>
    <row r="14" spans="2:12">
      <c r="B14" s="370" t="s">
        <v>26</v>
      </c>
      <c r="C14" s="368"/>
      <c r="D14" s="372">
        <v>1</v>
      </c>
      <c r="E14" s="372">
        <v>1</v>
      </c>
      <c r="F14" s="372">
        <v>1</v>
      </c>
      <c r="G14" s="372"/>
      <c r="H14" s="363"/>
      <c r="I14" s="361" t="s">
        <v>248</v>
      </c>
      <c r="J14" s="368"/>
      <c r="K14" s="417">
        <f>'[83]Tabellen für Auswertung'!J16</f>
        <v>47159.026572592</v>
      </c>
      <c r="L14" s="412" t="s">
        <v>28</v>
      </c>
    </row>
    <row r="15" spans="2:12">
      <c r="B15" s="370" t="s">
        <v>54</v>
      </c>
      <c r="C15" s="368" t="s">
        <v>55</v>
      </c>
      <c r="D15" s="373">
        <v>6450</v>
      </c>
      <c r="E15" s="373">
        <v>6450</v>
      </c>
      <c r="F15" s="373">
        <v>6450</v>
      </c>
      <c r="G15" s="372"/>
      <c r="H15" s="399">
        <v>19350</v>
      </c>
      <c r="I15" s="361" t="s">
        <v>249</v>
      </c>
      <c r="J15" s="368"/>
      <c r="K15" s="418">
        <f>'[83]Tabellen für Auswertung'!J33</f>
        <v>129.358049457314</v>
      </c>
      <c r="L15" s="412" t="s">
        <v>56</v>
      </c>
    </row>
    <row r="16" spans="2:12">
      <c r="B16" s="370" t="s">
        <v>234</v>
      </c>
      <c r="C16" s="368" t="s">
        <v>55</v>
      </c>
      <c r="D16" s="373">
        <v>6000</v>
      </c>
      <c r="E16" s="373">
        <v>6000</v>
      </c>
      <c r="F16" s="373">
        <v>6000</v>
      </c>
      <c r="G16" s="372"/>
      <c r="H16" s="399">
        <f>SUM(D16:F16)</f>
        <v>18000</v>
      </c>
      <c r="I16" s="363" t="s">
        <v>371</v>
      </c>
      <c r="J16" s="363"/>
      <c r="K16" s="419">
        <f>'[83]Tabellen für Auswertung'!C50*100</f>
        <v>69.5678524599326</v>
      </c>
      <c r="L16" s="416" t="s">
        <v>59</v>
      </c>
    </row>
    <row r="17" spans="2:12">
      <c r="B17" s="361" t="s">
        <v>61</v>
      </c>
      <c r="C17" s="363" t="s">
        <v>62</v>
      </c>
      <c r="D17" s="372" t="s">
        <v>63</v>
      </c>
      <c r="E17" s="372" t="s">
        <v>63</v>
      </c>
      <c r="F17" s="372" t="s">
        <v>63</v>
      </c>
      <c r="G17" s="372"/>
      <c r="H17" s="399"/>
      <c r="I17" s="363" t="s">
        <v>432</v>
      </c>
      <c r="J17" s="363"/>
      <c r="K17" s="419">
        <f>'[83]Tabellen für Auswertung'!D50*100</f>
        <v>18.0837895191035</v>
      </c>
      <c r="L17" s="416" t="s">
        <v>59</v>
      </c>
    </row>
    <row r="18" spans="2:12">
      <c r="B18" s="361" t="s">
        <v>66</v>
      </c>
      <c r="C18" s="363" t="s">
        <v>55</v>
      </c>
      <c r="D18" s="374">
        <v>0</v>
      </c>
      <c r="E18" s="374">
        <v>0</v>
      </c>
      <c r="F18" s="374">
        <v>0</v>
      </c>
      <c r="G18" s="372"/>
      <c r="H18" s="399"/>
      <c r="I18" s="363" t="s">
        <v>155</v>
      </c>
      <c r="J18" s="363"/>
      <c r="K18" s="419">
        <f>'[83]Tabellen für Auswertung'!B50*100</f>
        <v>12.3483580209639</v>
      </c>
      <c r="L18" s="416" t="s">
        <v>59</v>
      </c>
    </row>
    <row r="19" spans="2:12">
      <c r="B19" s="361"/>
      <c r="C19" s="363"/>
      <c r="D19" s="372"/>
      <c r="E19" s="372"/>
      <c r="F19" s="372"/>
      <c r="G19" s="400"/>
      <c r="H19" s="401"/>
      <c r="I19" s="363"/>
      <c r="J19" s="363"/>
      <c r="K19" s="419"/>
      <c r="L19" s="416"/>
    </row>
    <row r="20" ht="17.6" spans="2:12">
      <c r="B20" s="375" t="s">
        <v>69</v>
      </c>
      <c r="C20" s="82"/>
      <c r="D20" s="376"/>
      <c r="E20" s="376"/>
      <c r="F20" s="376"/>
      <c r="G20" s="372"/>
      <c r="H20" s="402"/>
      <c r="I20" s="363"/>
      <c r="J20" s="363"/>
      <c r="K20" s="419"/>
      <c r="L20" s="416"/>
    </row>
    <row r="21" spans="2:12">
      <c r="B21" s="370" t="s">
        <v>71</v>
      </c>
      <c r="C21" s="368" t="s">
        <v>59</v>
      </c>
      <c r="D21" s="377">
        <f>[83]Auswertung!L182</f>
        <v>8.88321244971417</v>
      </c>
      <c r="E21" s="377">
        <f>[83]Auswertung!M182</f>
        <v>8.81869125934615</v>
      </c>
      <c r="F21" s="372"/>
      <c r="G21" s="372"/>
      <c r="H21" s="403"/>
      <c r="I21" s="363"/>
      <c r="J21" s="363"/>
      <c r="K21" s="419"/>
      <c r="L21" s="416"/>
    </row>
    <row r="22" spans="2:12">
      <c r="B22" s="370" t="s">
        <v>73</v>
      </c>
      <c r="C22" s="368" t="s">
        <v>59</v>
      </c>
      <c r="D22" s="377">
        <f>[83]Auswertung!O182</f>
        <v>76.9581332171328</v>
      </c>
      <c r="E22" s="377">
        <f>[83]Auswertung!P182</f>
        <v>77.2858904680159</v>
      </c>
      <c r="F22" s="372"/>
      <c r="G22" s="372"/>
      <c r="H22" s="403"/>
      <c r="I22" s="363"/>
      <c r="J22" s="363"/>
      <c r="K22" s="419"/>
      <c r="L22" s="416"/>
    </row>
    <row r="23" ht="18" spans="2:12">
      <c r="B23" s="370" t="s">
        <v>74</v>
      </c>
      <c r="C23" s="378" t="s">
        <v>75</v>
      </c>
      <c r="D23" s="377"/>
      <c r="E23" s="377"/>
      <c r="F23" s="372"/>
      <c r="G23" s="372"/>
      <c r="H23" s="103" t="s">
        <v>482</v>
      </c>
      <c r="I23" s="420"/>
      <c r="J23" s="363"/>
      <c r="K23" s="363"/>
      <c r="L23" s="416"/>
    </row>
    <row r="24" ht="18" spans="2:12">
      <c r="B24" s="370" t="s">
        <v>78</v>
      </c>
      <c r="C24" s="363" t="s">
        <v>79</v>
      </c>
      <c r="D24" s="379"/>
      <c r="E24" s="379"/>
      <c r="F24" s="372"/>
      <c r="G24" s="372"/>
      <c r="H24" s="104" t="s">
        <v>888</v>
      </c>
      <c r="I24" s="421" t="s">
        <v>80</v>
      </c>
      <c r="J24" s="363"/>
      <c r="K24" s="419">
        <f>'[83]Tabellen für Auswertung'!J84</f>
        <v>31.8887586511474</v>
      </c>
      <c r="L24" s="416" t="s">
        <v>59</v>
      </c>
    </row>
    <row r="25" ht="18" spans="2:12">
      <c r="B25" s="361" t="s">
        <v>81</v>
      </c>
      <c r="C25" s="363" t="s">
        <v>59</v>
      </c>
      <c r="D25" s="372"/>
      <c r="E25" s="372"/>
      <c r="F25" s="372"/>
      <c r="G25" s="372"/>
      <c r="H25" s="104" t="s">
        <v>359</v>
      </c>
      <c r="I25" s="363" t="s">
        <v>83</v>
      </c>
      <c r="J25" s="363"/>
      <c r="K25" s="419">
        <f>'[83]Tabellen für Auswertung'!J101</f>
        <v>93.3325648029882</v>
      </c>
      <c r="L25" s="416" t="s">
        <v>59</v>
      </c>
    </row>
    <row r="26" ht="18" spans="2:12">
      <c r="B26" s="57" t="s">
        <v>84</v>
      </c>
      <c r="C26" s="363" t="s">
        <v>59</v>
      </c>
      <c r="D26" s="372"/>
      <c r="E26" s="372"/>
      <c r="F26" s="372"/>
      <c r="G26" s="372"/>
      <c r="H26" s="105" t="s">
        <v>270</v>
      </c>
      <c r="I26" s="363" t="s">
        <v>86</v>
      </c>
      <c r="J26" s="363"/>
      <c r="K26" s="419">
        <f>'[83]Tabellen für Auswertung'!J118</f>
        <v>68.078050414175</v>
      </c>
      <c r="L26" s="416" t="s">
        <v>59</v>
      </c>
    </row>
    <row r="27" ht="18" spans="2:12">
      <c r="B27" s="370" t="s">
        <v>854</v>
      </c>
      <c r="C27" s="363" t="s">
        <v>88</v>
      </c>
      <c r="D27" s="372"/>
      <c r="E27" s="372"/>
      <c r="F27" s="372"/>
      <c r="G27" s="372"/>
      <c r="H27" s="103" t="s">
        <v>254</v>
      </c>
      <c r="I27" s="400"/>
      <c r="J27" s="400"/>
      <c r="K27" s="400"/>
      <c r="L27" s="401"/>
    </row>
    <row r="28" ht="18" spans="2:12">
      <c r="B28" s="370" t="s">
        <v>90</v>
      </c>
      <c r="C28" s="363" t="s">
        <v>91</v>
      </c>
      <c r="D28" s="372"/>
      <c r="E28" s="372"/>
      <c r="F28" s="372"/>
      <c r="G28" s="372"/>
      <c r="H28" s="103" t="s">
        <v>255</v>
      </c>
      <c r="I28" s="367" t="s">
        <v>93</v>
      </c>
      <c r="J28" s="422"/>
      <c r="K28" s="363"/>
      <c r="L28" s="412"/>
    </row>
    <row r="29" spans="2:12">
      <c r="B29" s="370" t="s">
        <v>32</v>
      </c>
      <c r="C29" s="363" t="s">
        <v>62</v>
      </c>
      <c r="D29" s="377">
        <f>[83]Auswertung!Q230</f>
        <v>8.05166666666667</v>
      </c>
      <c r="E29" s="377">
        <f>[83]Auswertung!T230</f>
        <v>8.08333333333333</v>
      </c>
      <c r="F29" s="372"/>
      <c r="G29" s="372"/>
      <c r="H29" s="372"/>
      <c r="I29" s="370" t="s">
        <v>26</v>
      </c>
      <c r="J29" s="368"/>
      <c r="K29" s="363">
        <v>3</v>
      </c>
      <c r="L29" s="412"/>
    </row>
    <row r="30" spans="2:12">
      <c r="B30" s="370" t="s">
        <v>94</v>
      </c>
      <c r="C30" s="363" t="s">
        <v>95</v>
      </c>
      <c r="D30" s="377">
        <f>'[83]Tabellen für Auswertung'!N153</f>
        <v>48.9110857132252</v>
      </c>
      <c r="E30" s="377">
        <f>'[83]Tabellen für Auswertung'!O153</f>
        <v>46.5575449137041</v>
      </c>
      <c r="F30" s="372"/>
      <c r="G30" s="372"/>
      <c r="H30" s="372"/>
      <c r="I30" s="370" t="s">
        <v>96</v>
      </c>
      <c r="J30" s="393"/>
      <c r="K30" s="417">
        <v>25500</v>
      </c>
      <c r="L30" s="412" t="s">
        <v>55</v>
      </c>
    </row>
    <row r="31" spans="2:12">
      <c r="B31" s="370" t="s">
        <v>855</v>
      </c>
      <c r="C31" s="368" t="s">
        <v>98</v>
      </c>
      <c r="D31" s="377">
        <f>[83]Auswertung!O230/1000</f>
        <v>2.645</v>
      </c>
      <c r="E31" s="377">
        <f>[83]Auswertung!R230/1000</f>
        <v>2.66333333333333</v>
      </c>
      <c r="F31" s="372"/>
      <c r="G31" s="372"/>
      <c r="H31" s="372"/>
      <c r="I31" s="370" t="s">
        <v>99</v>
      </c>
      <c r="J31" s="393"/>
      <c r="K31" s="417">
        <v>0</v>
      </c>
      <c r="L31" s="412" t="s">
        <v>55</v>
      </c>
    </row>
    <row r="32" spans="2:12">
      <c r="B32" s="370" t="s">
        <v>856</v>
      </c>
      <c r="C32" s="368" t="s">
        <v>98</v>
      </c>
      <c r="D32" s="377">
        <f>[83]Auswertung!M230/1000</f>
        <v>5.40706694988884</v>
      </c>
      <c r="E32" s="377">
        <f>[83]Auswertung!S230/1000</f>
        <v>5.41417555503469</v>
      </c>
      <c r="F32" s="372"/>
      <c r="G32" s="372"/>
      <c r="H32" s="372"/>
      <c r="I32" s="370" t="s">
        <v>66</v>
      </c>
      <c r="J32" s="393"/>
      <c r="K32" s="417">
        <v>0</v>
      </c>
      <c r="L32" s="412" t="s">
        <v>55</v>
      </c>
    </row>
    <row r="33" spans="2:12">
      <c r="B33" s="370" t="s">
        <v>101</v>
      </c>
      <c r="C33" s="368" t="s">
        <v>102</v>
      </c>
      <c r="D33" s="379">
        <v>348</v>
      </c>
      <c r="E33" s="379">
        <v>314</v>
      </c>
      <c r="F33" s="372"/>
      <c r="G33" s="372"/>
      <c r="H33" s="372" t="s">
        <v>77</v>
      </c>
      <c r="I33" s="361" t="s">
        <v>103</v>
      </c>
      <c r="J33" s="368"/>
      <c r="K33" s="423">
        <v>3.7</v>
      </c>
      <c r="L33" s="412" t="s">
        <v>59</v>
      </c>
    </row>
    <row r="34" spans="2:12">
      <c r="B34" s="370" t="s">
        <v>104</v>
      </c>
      <c r="C34" s="368" t="s">
        <v>62</v>
      </c>
      <c r="D34" s="380">
        <f>[83]Auswertung!S208</f>
        <v>0.16648604443319</v>
      </c>
      <c r="E34" s="380">
        <f>[83]Auswertung!T208</f>
        <v>0.164361511867127</v>
      </c>
      <c r="F34" s="372"/>
      <c r="G34" s="372"/>
      <c r="H34" s="372"/>
      <c r="I34" s="370" t="s">
        <v>105</v>
      </c>
      <c r="J34" s="368"/>
      <c r="K34" s="423">
        <f>[83]Auswertung!W182</f>
        <v>6.06260828071355</v>
      </c>
      <c r="L34" s="412" t="s">
        <v>59</v>
      </c>
    </row>
    <row r="35" spans="2:12">
      <c r="B35" s="370"/>
      <c r="C35" s="368"/>
      <c r="D35" s="381"/>
      <c r="E35" s="372"/>
      <c r="F35" s="372"/>
      <c r="G35" s="372"/>
      <c r="H35" s="372"/>
      <c r="I35" s="370" t="s">
        <v>106</v>
      </c>
      <c r="J35" s="368"/>
      <c r="K35" s="423">
        <f>[83]Auswertung!X182</f>
        <v>69.8665377612235</v>
      </c>
      <c r="L35" s="412" t="s">
        <v>59</v>
      </c>
    </row>
    <row r="36" spans="2:12">
      <c r="B36" s="382" t="s">
        <v>142</v>
      </c>
      <c r="C36" s="368"/>
      <c r="D36" s="368"/>
      <c r="E36" s="380"/>
      <c r="F36" s="372"/>
      <c r="G36" s="372"/>
      <c r="H36" s="372"/>
      <c r="I36" s="424"/>
      <c r="J36" s="372"/>
      <c r="K36" s="372"/>
      <c r="L36" s="401"/>
    </row>
    <row r="37" ht="17.6" spans="2:12">
      <c r="B37" s="230" t="s">
        <v>107</v>
      </c>
      <c r="C37" s="82" t="s">
        <v>761</v>
      </c>
      <c r="D37" s="383"/>
      <c r="E37" s="376"/>
      <c r="F37" s="376"/>
      <c r="G37" s="376"/>
      <c r="H37" s="402"/>
      <c r="I37" s="425" t="s">
        <v>108</v>
      </c>
      <c r="J37" s="426"/>
      <c r="K37" s="82"/>
      <c r="L37" s="427"/>
    </row>
    <row r="38" spans="2:12">
      <c r="B38" s="384"/>
      <c r="C38" s="381"/>
      <c r="D38" s="381"/>
      <c r="E38" s="363"/>
      <c r="F38" s="372"/>
      <c r="G38" s="372"/>
      <c r="H38" s="403"/>
      <c r="I38" s="370"/>
      <c r="J38" s="368" t="s">
        <v>109</v>
      </c>
      <c r="K38" s="381" t="s">
        <v>110</v>
      </c>
      <c r="L38" s="412"/>
    </row>
    <row r="39" spans="2:12">
      <c r="B39" s="385"/>
      <c r="C39" s="368"/>
      <c r="D39" s="363"/>
      <c r="E39" s="363"/>
      <c r="F39" s="372"/>
      <c r="G39" s="372"/>
      <c r="H39" s="403"/>
      <c r="I39" s="428" t="s">
        <v>112</v>
      </c>
      <c r="J39" s="368"/>
      <c r="K39" s="368"/>
      <c r="L39" s="412"/>
    </row>
    <row r="40" spans="2:12">
      <c r="B40" s="384"/>
      <c r="C40" s="381"/>
      <c r="D40" s="381"/>
      <c r="E40" s="363"/>
      <c r="F40" s="372"/>
      <c r="G40" s="372"/>
      <c r="H40" s="403"/>
      <c r="I40" s="370"/>
      <c r="J40" s="368" t="s">
        <v>113</v>
      </c>
      <c r="K40" s="429" t="s">
        <v>889</v>
      </c>
      <c r="L40" s="430">
        <f>'[83]Finales Datenblatt'!AO370</f>
        <v>51.2540007703836</v>
      </c>
    </row>
    <row r="41" spans="2:12">
      <c r="B41" s="386"/>
      <c r="C41" s="387"/>
      <c r="D41" s="388"/>
      <c r="E41" s="388"/>
      <c r="F41" s="388"/>
      <c r="G41" s="388"/>
      <c r="H41" s="388"/>
      <c r="I41" s="370"/>
      <c r="J41" s="368" t="s">
        <v>113</v>
      </c>
      <c r="K41" s="372" t="s">
        <v>890</v>
      </c>
      <c r="L41" s="430">
        <f>'[83]Finales Datenblatt'!AP370</f>
        <v>46.1610258237535</v>
      </c>
    </row>
    <row r="42" spans="2:12">
      <c r="B42" s="370"/>
      <c r="C42" s="368"/>
      <c r="D42" s="372"/>
      <c r="E42" s="372"/>
      <c r="F42" s="372"/>
      <c r="G42" s="372"/>
      <c r="H42" s="403"/>
      <c r="I42" s="370"/>
      <c r="J42" s="368" t="s">
        <v>113</v>
      </c>
      <c r="K42" s="372" t="s">
        <v>891</v>
      </c>
      <c r="L42" s="430">
        <f>'[83]Finales Datenblatt'!AQ370</f>
        <v>0.00981144422191781</v>
      </c>
    </row>
    <row r="43" spans="2:12">
      <c r="B43" s="370"/>
      <c r="C43" s="368"/>
      <c r="D43" s="372"/>
      <c r="E43" s="379"/>
      <c r="F43" s="379"/>
      <c r="G43" s="372"/>
      <c r="H43" s="403"/>
      <c r="I43" s="370"/>
      <c r="J43" s="368" t="s">
        <v>123</v>
      </c>
      <c r="K43" s="429" t="s">
        <v>892</v>
      </c>
      <c r="L43" s="430">
        <f>'[83]Finales Datenblatt'!AS370</f>
        <v>83.5765515338904</v>
      </c>
    </row>
    <row r="44" spans="2:12">
      <c r="B44" s="370"/>
      <c r="C44" s="368"/>
      <c r="D44" s="379"/>
      <c r="E44" s="379"/>
      <c r="F44" s="379"/>
      <c r="G44" s="372"/>
      <c r="H44" s="403"/>
      <c r="I44" s="431" t="s">
        <v>126</v>
      </c>
      <c r="J44" s="368"/>
      <c r="K44" s="363"/>
      <c r="L44" s="416"/>
    </row>
    <row r="45" spans="2:12">
      <c r="B45" s="370"/>
      <c r="C45" s="368"/>
      <c r="D45" s="372"/>
      <c r="E45" s="372"/>
      <c r="F45" s="372"/>
      <c r="G45" s="372"/>
      <c r="H45" s="403"/>
      <c r="I45" s="368"/>
      <c r="J45" s="368"/>
      <c r="K45" s="372" t="s">
        <v>128</v>
      </c>
      <c r="L45" s="403" t="s">
        <v>129</v>
      </c>
    </row>
    <row r="46" spans="2:12">
      <c r="B46" s="370"/>
      <c r="C46" s="368"/>
      <c r="D46" s="372"/>
      <c r="E46" s="372"/>
      <c r="F46" s="372"/>
      <c r="G46" s="372"/>
      <c r="H46" s="403"/>
      <c r="I46" s="370"/>
      <c r="J46" s="368" t="s">
        <v>131</v>
      </c>
      <c r="K46" s="379">
        <f>[83]Auswertung!Q156/'[83]Tabellen für Auswertung'!J16</f>
        <v>212.288473014547</v>
      </c>
      <c r="L46" s="432">
        <f>K46*L40/100</f>
        <v>108.806335594311</v>
      </c>
    </row>
    <row r="47" spans="2:12">
      <c r="B47" s="361"/>
      <c r="C47" s="363"/>
      <c r="D47" s="372"/>
      <c r="E47" s="372"/>
      <c r="F47" s="372"/>
      <c r="G47" s="372"/>
      <c r="H47" s="403"/>
      <c r="I47" s="370"/>
      <c r="J47" s="368" t="s">
        <v>134</v>
      </c>
      <c r="K47" s="379">
        <f>K46/(K24/100*K25/100)</f>
        <v>713.272695163087</v>
      </c>
      <c r="L47" s="432">
        <f>L46/(K24/100*K25/100)</f>
        <v>365.580792673824</v>
      </c>
    </row>
    <row r="48" spans="2:12">
      <c r="B48" s="370"/>
      <c r="C48" s="368"/>
      <c r="D48" s="379"/>
      <c r="E48" s="379"/>
      <c r="F48" s="372"/>
      <c r="G48" s="372" t="s">
        <v>77</v>
      </c>
      <c r="H48" s="403"/>
      <c r="I48" s="431" t="s">
        <v>893</v>
      </c>
      <c r="J48" s="368"/>
      <c r="K48" s="363"/>
      <c r="L48" s="416"/>
    </row>
    <row r="49" spans="2:12">
      <c r="B49" s="361"/>
      <c r="C49" s="368"/>
      <c r="D49" s="379"/>
      <c r="E49" s="379"/>
      <c r="F49" s="372"/>
      <c r="G49" s="374"/>
      <c r="H49" s="399"/>
      <c r="I49" s="370"/>
      <c r="J49" s="368" t="s">
        <v>894</v>
      </c>
      <c r="K49" s="374">
        <f>'[83]Finales Datenblatt'!AN370</f>
        <v>27428.2677806794</v>
      </c>
      <c r="L49" s="399"/>
    </row>
    <row r="50" spans="2:12">
      <c r="B50" s="361"/>
      <c r="C50" s="368"/>
      <c r="D50" s="379"/>
      <c r="E50" s="379"/>
      <c r="F50" s="372"/>
      <c r="G50" s="372"/>
      <c r="H50" s="403"/>
      <c r="I50" s="370"/>
      <c r="J50" s="368" t="s">
        <v>895</v>
      </c>
      <c r="K50" s="374">
        <f>'[83]Finales Datenblatt'!AN371</f>
        <v>10011317.739948</v>
      </c>
      <c r="L50" s="416"/>
    </row>
    <row r="51" spans="2:12">
      <c r="B51" s="389"/>
      <c r="C51" s="368"/>
      <c r="D51" s="381"/>
      <c r="E51" s="372"/>
      <c r="F51" s="372"/>
      <c r="G51" s="372"/>
      <c r="H51" s="403"/>
      <c r="I51" s="369" t="s">
        <v>896</v>
      </c>
      <c r="J51" s="368"/>
      <c r="K51" s="372"/>
      <c r="L51" s="416"/>
    </row>
    <row r="52" spans="2:12">
      <c r="B52" s="389"/>
      <c r="C52" s="368"/>
      <c r="D52" s="381"/>
      <c r="E52" s="381"/>
      <c r="F52" s="381"/>
      <c r="G52" s="381"/>
      <c r="H52" s="404"/>
      <c r="I52" s="370"/>
      <c r="J52" s="368" t="s">
        <v>894</v>
      </c>
      <c r="K52" s="374">
        <f>'[83]Tabellen für Auswertung'!P16</f>
        <v>13465.9579433059</v>
      </c>
      <c r="L52" s="416"/>
    </row>
    <row r="53" spans="2:12">
      <c r="B53" s="384"/>
      <c r="C53" s="363"/>
      <c r="D53" s="381"/>
      <c r="E53" s="405"/>
      <c r="F53" s="381"/>
      <c r="G53" s="381"/>
      <c r="H53" s="404"/>
      <c r="I53" s="368"/>
      <c r="J53" s="368" t="s">
        <v>895</v>
      </c>
      <c r="K53" s="374">
        <f>'[83]Tabellen für Auswertung'!T33</f>
        <v>5316868.011181</v>
      </c>
      <c r="L53" s="416"/>
    </row>
    <row r="54" spans="2:12">
      <c r="B54" s="382" t="s">
        <v>142</v>
      </c>
      <c r="C54" s="390"/>
      <c r="D54" s="390"/>
      <c r="E54" s="406"/>
      <c r="F54" s="407"/>
      <c r="G54" s="407"/>
      <c r="H54" s="408"/>
      <c r="I54" s="381"/>
      <c r="J54" s="381"/>
      <c r="K54" s="381"/>
      <c r="L54" s="412"/>
    </row>
    <row r="55" ht="17.6" spans="2:12">
      <c r="B55" s="391" t="s">
        <v>143</v>
      </c>
      <c r="C55" s="381"/>
      <c r="D55" s="368"/>
      <c r="E55" s="368"/>
      <c r="F55" s="368"/>
      <c r="G55" s="409" t="s">
        <v>144</v>
      </c>
      <c r="H55" s="368"/>
      <c r="I55" s="383"/>
      <c r="J55" s="426"/>
      <c r="K55" s="426"/>
      <c r="L55" s="427"/>
    </row>
    <row r="56" spans="2:12">
      <c r="B56" s="370"/>
      <c r="C56" s="392" t="s">
        <v>145</v>
      </c>
      <c r="D56" s="393"/>
      <c r="E56" s="393"/>
      <c r="F56" s="368"/>
      <c r="G56" s="368"/>
      <c r="H56" s="368"/>
      <c r="I56" s="381" t="s">
        <v>145</v>
      </c>
      <c r="J56" s="368"/>
      <c r="K56" s="368"/>
      <c r="L56" s="412"/>
    </row>
    <row r="57" spans="2:12">
      <c r="B57" s="370" t="s">
        <v>897</v>
      </c>
      <c r="C57" s="394">
        <f>'[83]Tabellen für Auswertung'!N84</f>
        <v>1195416.801484</v>
      </c>
      <c r="D57" s="395"/>
      <c r="E57" s="410"/>
      <c r="F57" s="368"/>
      <c r="G57" s="368" t="s">
        <v>148</v>
      </c>
      <c r="H57" s="368"/>
      <c r="I57" s="374">
        <f>'[83]Tabellen für Auswertung'!N118</f>
        <v>108967</v>
      </c>
      <c r="J57" s="410"/>
      <c r="K57" s="410"/>
      <c r="L57" s="412"/>
    </row>
    <row r="58" spans="2:12">
      <c r="B58" s="396"/>
      <c r="C58" s="397"/>
      <c r="D58" s="397"/>
      <c r="E58" s="397"/>
      <c r="F58" s="397"/>
      <c r="G58" s="397"/>
      <c r="H58" s="397"/>
      <c r="I58" s="433"/>
      <c r="J58" s="433"/>
      <c r="K58" s="434"/>
      <c r="L58" s="413"/>
    </row>
  </sheetData>
  <mergeCells count="1">
    <mergeCell ref="B2:L2"/>
  </mergeCells>
  <pageMargins left="0.7" right="0.7" top="0.787401575" bottom="0.787401575" header="0.3" footer="0.3"/>
  <headerFooter/>
  <ignoredErrors>
    <ignoredError sqref="C5" numberStoredAsText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A2:AF85"/>
  <sheetViews>
    <sheetView zoomScale="85" zoomScaleNormal="85" workbookViewId="0">
      <selection activeCell="A1" sqref="A1"/>
    </sheetView>
  </sheetViews>
  <sheetFormatPr defaultColWidth="11.5" defaultRowHeight="16.8"/>
  <cols>
    <col min="1" max="1" width="11.5" style="305"/>
    <col min="2" max="2" width="10.6634615384615" style="305" customWidth="1"/>
    <col min="3" max="3" width="12.5" style="305" customWidth="1"/>
    <col min="4" max="4" width="13.5" style="305" customWidth="1"/>
    <col min="5" max="5" width="12.5" style="305" customWidth="1"/>
    <col min="6" max="6" width="13.5" style="305" customWidth="1"/>
    <col min="7" max="7" width="12.5" style="305" customWidth="1"/>
    <col min="8" max="8" width="13.5" style="305" customWidth="1"/>
    <col min="9" max="9" width="10" style="305" customWidth="1"/>
    <col min="10" max="10" width="17.5" style="305" customWidth="1"/>
    <col min="11" max="16384" width="11.5" style="305"/>
  </cols>
  <sheetData>
    <row r="2" spans="1:11">
      <c r="A2" s="306" t="s">
        <v>154</v>
      </c>
      <c r="B2" s="306"/>
      <c r="C2" s="306" t="s">
        <v>473</v>
      </c>
      <c r="D2" s="306" t="s">
        <v>58</v>
      </c>
      <c r="E2" s="306" t="s">
        <v>898</v>
      </c>
      <c r="F2" s="306" t="s">
        <v>372</v>
      </c>
      <c r="G2" s="306" t="s">
        <v>155</v>
      </c>
      <c r="H2" s="306" t="s">
        <v>560</v>
      </c>
      <c r="I2" s="306"/>
      <c r="J2" s="306" t="s">
        <v>385</v>
      </c>
      <c r="K2" s="306" t="s">
        <v>386</v>
      </c>
    </row>
    <row r="3" spans="1:25">
      <c r="A3" s="307">
        <f>[19]Auswertung!K3</f>
        <v>0</v>
      </c>
      <c r="B3" s="307" t="str">
        <f>[19]Auswertung!L3</f>
        <v>[%]</v>
      </c>
      <c r="C3" s="307" t="str">
        <f>[19]Auswertung!M3</f>
        <v>[%]</v>
      </c>
      <c r="D3" s="307" t="str">
        <f>[19]Auswertung!P3</f>
        <v>[%]</v>
      </c>
      <c r="E3" s="307" t="str">
        <f>[19]Auswertung!O3</f>
        <v>[%]</v>
      </c>
      <c r="F3" s="307" t="str">
        <f>[19]Auswertung!P3</f>
        <v>[%]</v>
      </c>
      <c r="G3" s="307" t="str">
        <f>[19]Auswertung!Q3</f>
        <v>[%]</v>
      </c>
      <c r="H3" s="307" t="str">
        <f>[19]Auswertung!R3</f>
        <v>[%]</v>
      </c>
      <c r="I3" s="307" t="str">
        <f>[19]Auswertung!U3</f>
        <v>[%]</v>
      </c>
      <c r="J3" s="307" t="str">
        <f>[19]Auswertung!S3</f>
        <v>[t/d]</v>
      </c>
      <c r="K3" s="307"/>
      <c r="X3" s="344" t="s">
        <v>387</v>
      </c>
      <c r="Y3" s="346"/>
    </row>
    <row r="4" spans="1:11">
      <c r="A4" s="308">
        <f>[76]Auswertung!K4</f>
        <v>42948</v>
      </c>
      <c r="B4" s="309"/>
      <c r="C4" s="309">
        <f>[83]Auswertung!R4</f>
        <v>0</v>
      </c>
      <c r="D4" s="309">
        <f>[83]Auswertung!M4</f>
        <v>59.6828700691665</v>
      </c>
      <c r="E4" s="309">
        <f>[83]Auswertung!N4</f>
        <v>29.8414350345832</v>
      </c>
      <c r="F4" s="335"/>
      <c r="G4" s="309">
        <f>[83]Auswertung!L4</f>
        <v>10.4756948962503</v>
      </c>
      <c r="H4" s="309"/>
      <c r="I4" s="335"/>
      <c r="J4" s="309">
        <f>[83]Auswertung!S4</f>
        <v>123.788847078065</v>
      </c>
      <c r="K4" s="335">
        <f t="shared" ref="K4:K16" si="0">SUM(B4:H4)</f>
        <v>100</v>
      </c>
    </row>
    <row r="5" spans="1:11">
      <c r="A5" s="308">
        <f>[76]Auswertung!K5</f>
        <v>42979</v>
      </c>
      <c r="B5" s="309"/>
      <c r="C5" s="309">
        <f>[83]Auswertung!R5</f>
        <v>0</v>
      </c>
      <c r="D5" s="309">
        <f>[83]Auswertung!M5</f>
        <v>59.2719829054072</v>
      </c>
      <c r="E5" s="309">
        <f>[83]Auswertung!N5</f>
        <v>29.6359914527036</v>
      </c>
      <c r="F5" s="335"/>
      <c r="G5" s="309">
        <f>[83]Auswertung!L5</f>
        <v>11.0920256418892</v>
      </c>
      <c r="H5" s="309"/>
      <c r="I5" s="335"/>
      <c r="J5" s="309">
        <f>[83]Auswertung!S5</f>
        <v>148.455</v>
      </c>
      <c r="K5" s="335">
        <f t="shared" si="0"/>
        <v>100</v>
      </c>
    </row>
    <row r="6" spans="1:11">
      <c r="A6" s="308">
        <f>[76]Auswertung!K6</f>
        <v>43009</v>
      </c>
      <c r="B6" s="309"/>
      <c r="C6" s="309">
        <f>[83]Auswertung!R6</f>
        <v>0</v>
      </c>
      <c r="D6" s="309">
        <f>[83]Auswertung!M6</f>
        <v>79.9833489690575</v>
      </c>
      <c r="E6" s="309">
        <f>[83]Auswertung!N6</f>
        <v>9.22190950773867</v>
      </c>
      <c r="F6" s="335"/>
      <c r="G6" s="309">
        <f>[83]Auswertung!L6</f>
        <v>10.7947415232038</v>
      </c>
      <c r="H6" s="309"/>
      <c r="I6" s="335"/>
      <c r="J6" s="309">
        <f>[83]Auswertung!S6</f>
        <v>132.382258064516</v>
      </c>
      <c r="K6" s="335">
        <f t="shared" si="0"/>
        <v>100</v>
      </c>
    </row>
    <row r="7" spans="1:11">
      <c r="A7" s="308">
        <f>[76]Auswertung!K7</f>
        <v>43040</v>
      </c>
      <c r="B7" s="309"/>
      <c r="C7" s="309">
        <f>[83]Auswertung!R7</f>
        <v>0</v>
      </c>
      <c r="D7" s="309">
        <f>[83]Auswertung!M7</f>
        <v>70.8465390467793</v>
      </c>
      <c r="E7" s="309">
        <f>[83]Auswertung!N7</f>
        <v>16.3993837680399</v>
      </c>
      <c r="F7" s="335"/>
      <c r="G7" s="309">
        <f>[83]Auswertung!L7</f>
        <v>12.7540771851807</v>
      </c>
      <c r="H7" s="309"/>
      <c r="I7" s="335"/>
      <c r="J7" s="309">
        <f>[83]Auswertung!S7</f>
        <v>127.0182057454</v>
      </c>
      <c r="K7" s="335">
        <f t="shared" si="0"/>
        <v>100</v>
      </c>
    </row>
    <row r="8" spans="1:11">
      <c r="A8" s="308">
        <f>[76]Auswertung!K8</f>
        <v>43070</v>
      </c>
      <c r="B8" s="309"/>
      <c r="C8" s="309">
        <f>[83]Auswertung!R8</f>
        <v>0</v>
      </c>
      <c r="D8" s="309">
        <f>[83]Auswertung!M8</f>
        <v>57.4957992638475</v>
      </c>
      <c r="E8" s="309">
        <f>[83]Auswertung!N8</f>
        <v>28.7478996319238</v>
      </c>
      <c r="F8" s="335"/>
      <c r="G8" s="309">
        <f>[83]Auswertung!L8</f>
        <v>13.7563011042287</v>
      </c>
      <c r="H8" s="309"/>
      <c r="I8" s="335"/>
      <c r="J8" s="309">
        <f>[83]Auswertung!S8</f>
        <v>130.849127709677</v>
      </c>
      <c r="K8" s="335">
        <f t="shared" si="0"/>
        <v>100</v>
      </c>
    </row>
    <row r="9" spans="1:11">
      <c r="A9" s="308">
        <f>[76]Auswertung!K9</f>
        <v>43101</v>
      </c>
      <c r="B9" s="309"/>
      <c r="C9" s="309">
        <f>[83]Auswertung!R9</f>
        <v>0</v>
      </c>
      <c r="D9" s="309">
        <f>[83]Auswertung!M9</f>
        <v>59.8691795075167</v>
      </c>
      <c r="E9" s="309">
        <f>[83]Auswertung!N9</f>
        <v>26.1836194262983</v>
      </c>
      <c r="F9" s="335"/>
      <c r="G9" s="309">
        <f>[83]Auswertung!L9</f>
        <v>13.947201066185</v>
      </c>
      <c r="H9" s="309"/>
      <c r="I9" s="335"/>
      <c r="J9" s="309">
        <f>[83]Auswertung!S9</f>
        <v>124.89498614129</v>
      </c>
      <c r="K9" s="335">
        <f t="shared" si="0"/>
        <v>100</v>
      </c>
    </row>
    <row r="10" spans="1:11">
      <c r="A10" s="308">
        <f>[76]Auswertung!K10</f>
        <v>43132</v>
      </c>
      <c r="B10" s="309"/>
      <c r="C10" s="309">
        <f>[83]Auswertung!R10</f>
        <v>0</v>
      </c>
      <c r="D10" s="309">
        <f>[83]Auswertung!M10</f>
        <v>85.8410769023105</v>
      </c>
      <c r="E10" s="309">
        <f>[83]Auswertung!N10</f>
        <v>0</v>
      </c>
      <c r="F10" s="335"/>
      <c r="G10" s="309">
        <f>[83]Auswertung!L10</f>
        <v>14.1589230976895</v>
      </c>
      <c r="H10" s="309"/>
      <c r="I10" s="335"/>
      <c r="J10" s="309">
        <f>[83]Auswertung!S10</f>
        <v>102.522832648387</v>
      </c>
      <c r="K10" s="335">
        <f t="shared" si="0"/>
        <v>100</v>
      </c>
    </row>
    <row r="11" spans="1:11">
      <c r="A11" s="308">
        <f>[76]Auswertung!K11</f>
        <v>43160</v>
      </c>
      <c r="B11" s="309"/>
      <c r="C11" s="309">
        <f>[83]Auswertung!R11</f>
        <v>0</v>
      </c>
      <c r="D11" s="309">
        <f>[83]Auswertung!M11</f>
        <v>86.2813597399388</v>
      </c>
      <c r="E11" s="309">
        <f>[83]Auswertung!N11</f>
        <v>0</v>
      </c>
      <c r="F11" s="335"/>
      <c r="G11" s="309">
        <f>[83]Auswertung!L11</f>
        <v>13.7186402600612</v>
      </c>
      <c r="H11" s="309"/>
      <c r="I11" s="335"/>
      <c r="J11" s="309">
        <f>[83]Auswertung!S11</f>
        <v>140.580363068929</v>
      </c>
      <c r="K11" s="335">
        <f t="shared" si="0"/>
        <v>100</v>
      </c>
    </row>
    <row r="12" spans="1:11">
      <c r="A12" s="308">
        <f>[76]Auswertung!K12</f>
        <v>43191</v>
      </c>
      <c r="B12" s="309"/>
      <c r="C12" s="309">
        <f>[83]Auswertung!R12</f>
        <v>0</v>
      </c>
      <c r="D12" s="309">
        <f>[83]Auswertung!M12</f>
        <v>59.2114461596759</v>
      </c>
      <c r="E12" s="309">
        <f>[83]Auswertung!N12</f>
        <v>28.2076559172282</v>
      </c>
      <c r="F12" s="335"/>
      <c r="G12" s="309">
        <f>[83]Auswertung!L12</f>
        <v>12.5808979230959</v>
      </c>
      <c r="H12" s="309"/>
      <c r="I12" s="335"/>
      <c r="J12" s="309">
        <f>[83]Auswertung!S12</f>
        <v>129.228172865806</v>
      </c>
      <c r="K12" s="335">
        <f t="shared" si="0"/>
        <v>100</v>
      </c>
    </row>
    <row r="13" spans="1:11">
      <c r="A13" s="308">
        <f>[76]Auswertung!K13</f>
        <v>43221</v>
      </c>
      <c r="B13" s="309"/>
      <c r="C13" s="309">
        <f>[83]Auswertung!R13</f>
        <v>0</v>
      </c>
      <c r="D13" s="309">
        <f>[83]Auswertung!M13</f>
        <v>60.0636544793853</v>
      </c>
      <c r="E13" s="309">
        <f>[83]Auswertung!N13</f>
        <v>30.0318272396927</v>
      </c>
      <c r="F13" s="335"/>
      <c r="G13" s="309">
        <f>[83]Auswertung!L13</f>
        <v>9.90451828092202</v>
      </c>
      <c r="H13" s="309"/>
      <c r="I13" s="335"/>
      <c r="J13" s="309">
        <f>[83]Auswertung!S13</f>
        <v>143.705457748</v>
      </c>
      <c r="K13" s="335">
        <f t="shared" si="0"/>
        <v>100</v>
      </c>
    </row>
    <row r="14" spans="1:11">
      <c r="A14" s="308">
        <f>[76]Auswertung!K14</f>
        <v>43252</v>
      </c>
      <c r="B14" s="309"/>
      <c r="C14" s="309">
        <f>[83]Auswertung!R14</f>
        <v>0</v>
      </c>
      <c r="D14" s="309">
        <f>[83]Auswertung!M14</f>
        <v>78.8960527516</v>
      </c>
      <c r="E14" s="309">
        <f>[83]Auswertung!N14</f>
        <v>10.2099889199367</v>
      </c>
      <c r="F14" s="335"/>
      <c r="G14" s="309">
        <f>[83]Auswertung!L14</f>
        <v>10.8939583284634</v>
      </c>
      <c r="H14" s="309"/>
      <c r="I14" s="335"/>
      <c r="J14" s="309">
        <f>[83]Auswertung!S14</f>
        <v>127.623269589032</v>
      </c>
      <c r="K14" s="335">
        <f t="shared" si="0"/>
        <v>100</v>
      </c>
    </row>
    <row r="15" spans="1:11">
      <c r="A15" s="310">
        <f>[76]Auswertung!K15</f>
        <v>43282</v>
      </c>
      <c r="B15" s="311"/>
      <c r="C15" s="311">
        <f>[83]Auswertung!R15</f>
        <v>0</v>
      </c>
      <c r="D15" s="311">
        <f>[83]Auswertung!M15</f>
        <v>77.3709197245056</v>
      </c>
      <c r="E15" s="311">
        <f>[83]Auswertung!N15</f>
        <v>8.52576333109753</v>
      </c>
      <c r="F15" s="336"/>
      <c r="G15" s="311">
        <f>[83]Auswertung!L15</f>
        <v>14.1033169443969</v>
      </c>
      <c r="H15" s="311"/>
      <c r="I15" s="336"/>
      <c r="J15" s="311">
        <f>[83]Auswertung!S15</f>
        <v>121.248072828667</v>
      </c>
      <c r="K15" s="336">
        <f t="shared" si="0"/>
        <v>100</v>
      </c>
    </row>
    <row r="16" spans="1:11">
      <c r="A16" s="312" t="str">
        <f>[76]Auswertung!K16</f>
        <v>Jahresmenge</v>
      </c>
      <c r="B16" s="309"/>
      <c r="C16" s="309" t="e">
        <f>[83]Auswertung!R16</f>
        <v>#DIV/0!</v>
      </c>
      <c r="D16" s="309">
        <f>[83]Auswertung!$M$16</f>
        <v>69.5678524599326</v>
      </c>
      <c r="E16" s="309">
        <f>[83]Auswertung!N16</f>
        <v>18.0837895191035</v>
      </c>
      <c r="F16" s="335"/>
      <c r="G16" s="309">
        <f>[83]Auswertung!L16</f>
        <v>12.3483580209639</v>
      </c>
      <c r="H16" s="309"/>
      <c r="I16" s="335"/>
      <c r="J16" s="309">
        <f>[83]Auswertung!S16</f>
        <v>168.887678614301</v>
      </c>
      <c r="K16" s="335" t="e">
        <f t="shared" si="0"/>
        <v>#DIV/0!</v>
      </c>
    </row>
    <row r="22" spans="3:5">
      <c r="C22" s="313" t="s">
        <v>104</v>
      </c>
      <c r="D22" s="314" t="s">
        <v>259</v>
      </c>
      <c r="E22" s="314" t="s">
        <v>178</v>
      </c>
    </row>
    <row r="23" ht="34" spans="2:5">
      <c r="B23" s="315"/>
      <c r="C23" s="316"/>
      <c r="D23" s="317" t="s">
        <v>388</v>
      </c>
      <c r="E23" s="337" t="s">
        <v>388</v>
      </c>
    </row>
    <row r="24" spans="2:5">
      <c r="B24" s="315"/>
      <c r="C24" s="318"/>
      <c r="D24" s="319" t="s">
        <v>389</v>
      </c>
      <c r="E24" s="338" t="s">
        <v>389</v>
      </c>
    </row>
    <row r="25" spans="3:5">
      <c r="C25" s="320">
        <f t="shared" ref="C25:C36" si="1">A4</f>
        <v>42948</v>
      </c>
      <c r="D25" s="321">
        <f>[83]Auswertung!S196</f>
        <v>0.172013748885139</v>
      </c>
      <c r="E25" s="321">
        <f>'[83]Tabellen für Auswertung'!O178</f>
        <v>0.174454040552002</v>
      </c>
    </row>
    <row r="26" spans="3:5">
      <c r="C26" s="322">
        <f t="shared" si="1"/>
        <v>42979</v>
      </c>
      <c r="D26" s="323">
        <f>[83]Auswertung!S197</f>
        <v>0.157514084908672</v>
      </c>
      <c r="E26" s="323">
        <f>'[83]Tabellen für Auswertung'!O179</f>
        <v>0.15663110405299</v>
      </c>
    </row>
    <row r="27" spans="3:5">
      <c r="C27" s="322">
        <f t="shared" si="1"/>
        <v>43009</v>
      </c>
      <c r="D27" s="323">
        <f>[83]Auswertung!S198</f>
        <v>0.173716356939429</v>
      </c>
      <c r="E27" s="323">
        <f>'[83]Tabellen für Auswertung'!O180</f>
        <v>0.172543453569136</v>
      </c>
    </row>
    <row r="28" spans="3:5">
      <c r="C28" s="322">
        <f t="shared" si="1"/>
        <v>43040</v>
      </c>
      <c r="D28" s="323">
        <f>[83]Auswertung!S199</f>
        <v>0.164027847739892</v>
      </c>
      <c r="E28" s="323">
        <f>'[83]Tabellen für Auswertung'!O181</f>
        <v>0.160634143121414</v>
      </c>
    </row>
    <row r="29" spans="3:5">
      <c r="C29" s="322">
        <f t="shared" si="1"/>
        <v>43070</v>
      </c>
      <c r="D29" s="323">
        <f>[83]Auswertung!S200</f>
        <v>0.190586969565843</v>
      </c>
      <c r="E29" s="323">
        <f>'[83]Tabellen für Auswertung'!O182</f>
        <v>0.178678742242658</v>
      </c>
    </row>
    <row r="30" spans="3:5">
      <c r="C30" s="322">
        <f t="shared" si="1"/>
        <v>43101</v>
      </c>
      <c r="D30" s="323">
        <f>[83]Auswertung!S201</f>
        <v>0.140892824655862</v>
      </c>
      <c r="E30" s="323">
        <f>'[83]Tabellen für Auswertung'!O183</f>
        <v>0.144159098753717</v>
      </c>
    </row>
    <row r="31" spans="3:5">
      <c r="C31" s="322">
        <f t="shared" si="1"/>
        <v>43132</v>
      </c>
      <c r="D31" s="323">
        <f>[83]Auswertung!S202</f>
        <v>0.149091335657421</v>
      </c>
      <c r="E31" s="323">
        <f>'[83]Tabellen für Auswertung'!O184</f>
        <v>0.152472865172099</v>
      </c>
    </row>
    <row r="32" spans="3:32">
      <c r="C32" s="322">
        <f t="shared" si="1"/>
        <v>43160</v>
      </c>
      <c r="D32" s="323">
        <f>[83]Auswertung!S203</f>
        <v>0.139744617602083</v>
      </c>
      <c r="E32" s="323">
        <f>'[83]Tabellen für Auswertung'!O185</f>
        <v>0.136278844975341</v>
      </c>
      <c r="Y32" s="305" t="s">
        <v>154</v>
      </c>
      <c r="AA32" s="305" t="s">
        <v>473</v>
      </c>
      <c r="AB32" s="305" t="s">
        <v>58</v>
      </c>
      <c r="AC32" s="305" t="s">
        <v>898</v>
      </c>
      <c r="AD32" s="305" t="s">
        <v>372</v>
      </c>
      <c r="AE32" s="305" t="s">
        <v>155</v>
      </c>
      <c r="AF32" s="305" t="s">
        <v>560</v>
      </c>
    </row>
    <row r="33" spans="3:32">
      <c r="C33" s="322">
        <f t="shared" si="1"/>
        <v>43191</v>
      </c>
      <c r="D33" s="323">
        <f>[83]Auswertung!S204</f>
        <v>0.17189311757133</v>
      </c>
      <c r="E33" s="323">
        <f>'[83]Tabellen für Auswertung'!O186</f>
        <v>0.165616409762364</v>
      </c>
      <c r="Y33" s="305">
        <v>0</v>
      </c>
      <c r="Z33" s="305" t="s">
        <v>59</v>
      </c>
      <c r="AA33" s="305" t="s">
        <v>59</v>
      </c>
      <c r="AB33" s="305" t="s">
        <v>59</v>
      </c>
      <c r="AC33" s="305" t="s">
        <v>59</v>
      </c>
      <c r="AD33" s="305" t="s">
        <v>59</v>
      </c>
      <c r="AE33" s="305" t="s">
        <v>59</v>
      </c>
      <c r="AF33" s="305" t="s">
        <v>59</v>
      </c>
    </row>
    <row r="34" spans="3:32">
      <c r="C34" s="322">
        <f t="shared" si="1"/>
        <v>43221</v>
      </c>
      <c r="D34" s="323">
        <f>[83]Auswertung!S205</f>
        <v>0.166973309959428</v>
      </c>
      <c r="E34" s="323">
        <f>'[83]Tabellen für Auswertung'!O187</f>
        <v>0.160351621034804</v>
      </c>
      <c r="Y34" s="305">
        <v>42948</v>
      </c>
      <c r="AB34" s="305">
        <f t="shared" ref="AB34:AB45" si="2">D4/(100-$C4)*100</f>
        <v>59.6828700691665</v>
      </c>
      <c r="AC34" s="305">
        <f t="shared" ref="AC34:AC45" si="3">E4/(100-$C4)*100</f>
        <v>29.8414350345832</v>
      </c>
      <c r="AD34" s="305">
        <f t="shared" ref="AD34:AD45" si="4">F4/(100-$C4)*100</f>
        <v>0</v>
      </c>
      <c r="AE34" s="305">
        <f t="shared" ref="AE34:AE45" si="5">G4/(100-$C4)*100</f>
        <v>10.4756948962503</v>
      </c>
      <c r="AF34" s="305">
        <f t="shared" ref="AF34:AF45" si="6">H4/(100-$C4)*100</f>
        <v>0</v>
      </c>
    </row>
    <row r="35" spans="3:32">
      <c r="C35" s="322">
        <f t="shared" si="1"/>
        <v>43252</v>
      </c>
      <c r="D35" s="323">
        <f>[83]Auswertung!S206</f>
        <v>0.163585445654625</v>
      </c>
      <c r="E35" s="323">
        <f>'[83]Tabellen für Auswertung'!O188</f>
        <v>0.165460291669486</v>
      </c>
      <c r="Y35" s="305">
        <v>42979</v>
      </c>
      <c r="AB35" s="305">
        <f t="shared" si="2"/>
        <v>59.2719829054072</v>
      </c>
      <c r="AC35" s="305">
        <f t="shared" si="3"/>
        <v>29.6359914527036</v>
      </c>
      <c r="AD35" s="305">
        <f t="shared" si="4"/>
        <v>0</v>
      </c>
      <c r="AE35" s="305">
        <f t="shared" si="5"/>
        <v>11.0920256418892</v>
      </c>
      <c r="AF35" s="305">
        <f t="shared" si="6"/>
        <v>0</v>
      </c>
    </row>
    <row r="36" spans="3:32">
      <c r="C36" s="324">
        <f t="shared" si="1"/>
        <v>43282</v>
      </c>
      <c r="D36" s="325">
        <f>[83]Auswertung!S207</f>
        <v>0.207792874058552</v>
      </c>
      <c r="E36" s="325">
        <f>'[83]Tabellen für Auswertung'!O189</f>
        <v>0.205057527499518</v>
      </c>
      <c r="Y36" s="305">
        <v>43009</v>
      </c>
      <c r="AB36" s="305">
        <f t="shared" si="2"/>
        <v>79.9833489690575</v>
      </c>
      <c r="AC36" s="305">
        <f t="shared" si="3"/>
        <v>9.22190950773867</v>
      </c>
      <c r="AD36" s="305">
        <f t="shared" si="4"/>
        <v>0</v>
      </c>
      <c r="AE36" s="305">
        <f t="shared" si="5"/>
        <v>10.7947415232038</v>
      </c>
      <c r="AF36" s="305">
        <f t="shared" si="6"/>
        <v>0</v>
      </c>
    </row>
    <row r="37" ht="17.55" spans="3:32">
      <c r="C37" s="326" t="s">
        <v>390</v>
      </c>
      <c r="D37" s="327"/>
      <c r="E37" s="339"/>
      <c r="Y37" s="305">
        <v>43040</v>
      </c>
      <c r="AB37" s="305">
        <f t="shared" si="2"/>
        <v>70.8465390467793</v>
      </c>
      <c r="AC37" s="305">
        <f t="shared" si="3"/>
        <v>16.3993837680399</v>
      </c>
      <c r="AD37" s="305">
        <f t="shared" si="4"/>
        <v>0</v>
      </c>
      <c r="AE37" s="305">
        <f t="shared" si="5"/>
        <v>12.7540771851807</v>
      </c>
      <c r="AF37" s="305">
        <f t="shared" si="6"/>
        <v>0</v>
      </c>
    </row>
    <row r="38" ht="17.55" spans="25:32">
      <c r="Y38" s="305">
        <v>43070</v>
      </c>
      <c r="AB38" s="305">
        <f t="shared" si="2"/>
        <v>57.4957992638475</v>
      </c>
      <c r="AC38" s="305">
        <f t="shared" si="3"/>
        <v>28.7478996319238</v>
      </c>
      <c r="AD38" s="305">
        <f t="shared" si="4"/>
        <v>0</v>
      </c>
      <c r="AE38" s="305">
        <f t="shared" si="5"/>
        <v>13.7563011042287</v>
      </c>
      <c r="AF38" s="305">
        <f t="shared" si="6"/>
        <v>0</v>
      </c>
    </row>
    <row r="39" spans="25:32">
      <c r="Y39" s="305">
        <v>43101</v>
      </c>
      <c r="AB39" s="305">
        <f t="shared" si="2"/>
        <v>59.8691795075167</v>
      </c>
      <c r="AC39" s="305">
        <f t="shared" si="3"/>
        <v>26.1836194262983</v>
      </c>
      <c r="AD39" s="305">
        <f t="shared" si="4"/>
        <v>0</v>
      </c>
      <c r="AE39" s="305">
        <f t="shared" si="5"/>
        <v>13.947201066185</v>
      </c>
      <c r="AF39" s="305">
        <f t="shared" si="6"/>
        <v>0</v>
      </c>
    </row>
    <row r="40" spans="25:32">
      <c r="Y40" s="305">
        <v>43132</v>
      </c>
      <c r="AB40" s="305">
        <f t="shared" si="2"/>
        <v>85.8410769023105</v>
      </c>
      <c r="AC40" s="305">
        <f t="shared" si="3"/>
        <v>0</v>
      </c>
      <c r="AD40" s="305">
        <f t="shared" si="4"/>
        <v>0</v>
      </c>
      <c r="AE40" s="305">
        <f t="shared" si="5"/>
        <v>14.1589230976895</v>
      </c>
      <c r="AF40" s="305">
        <f t="shared" si="6"/>
        <v>0</v>
      </c>
    </row>
    <row r="41" spans="25:32">
      <c r="Y41" s="305">
        <v>43160</v>
      </c>
      <c r="AB41" s="305">
        <f t="shared" si="2"/>
        <v>86.2813597399388</v>
      </c>
      <c r="AC41" s="305">
        <f t="shared" si="3"/>
        <v>0</v>
      </c>
      <c r="AD41" s="305">
        <f t="shared" si="4"/>
        <v>0</v>
      </c>
      <c r="AE41" s="305">
        <f t="shared" si="5"/>
        <v>13.7186402600612</v>
      </c>
      <c r="AF41" s="305">
        <f t="shared" si="6"/>
        <v>0</v>
      </c>
    </row>
    <row r="42" spans="25:32">
      <c r="Y42" s="305">
        <v>43191</v>
      </c>
      <c r="AB42" s="305">
        <f t="shared" si="2"/>
        <v>59.2114461596759</v>
      </c>
      <c r="AC42" s="305">
        <f t="shared" si="3"/>
        <v>28.2076559172282</v>
      </c>
      <c r="AD42" s="305">
        <f t="shared" si="4"/>
        <v>0</v>
      </c>
      <c r="AE42" s="305">
        <f t="shared" si="5"/>
        <v>12.5808979230959</v>
      </c>
      <c r="AF42" s="305">
        <f t="shared" si="6"/>
        <v>0</v>
      </c>
    </row>
    <row r="43" spans="25:32">
      <c r="Y43" s="305">
        <v>43221</v>
      </c>
      <c r="AB43" s="305">
        <f t="shared" si="2"/>
        <v>60.0636544793853</v>
      </c>
      <c r="AC43" s="305">
        <f t="shared" si="3"/>
        <v>30.0318272396927</v>
      </c>
      <c r="AD43" s="305">
        <f t="shared" si="4"/>
        <v>0</v>
      </c>
      <c r="AE43" s="305">
        <f t="shared" si="5"/>
        <v>9.90451828092202</v>
      </c>
      <c r="AF43" s="305">
        <f t="shared" si="6"/>
        <v>0</v>
      </c>
    </row>
    <row r="44" spans="25:32">
      <c r="Y44" s="305">
        <v>43252</v>
      </c>
      <c r="AB44" s="305">
        <f t="shared" si="2"/>
        <v>78.8960527516</v>
      </c>
      <c r="AC44" s="305">
        <f t="shared" si="3"/>
        <v>10.2099889199367</v>
      </c>
      <c r="AD44" s="305">
        <f t="shared" si="4"/>
        <v>0</v>
      </c>
      <c r="AE44" s="305">
        <f t="shared" si="5"/>
        <v>10.8939583284634</v>
      </c>
      <c r="AF44" s="305">
        <f t="shared" si="6"/>
        <v>0</v>
      </c>
    </row>
    <row r="45" spans="25:32">
      <c r="Y45" s="305">
        <v>43282</v>
      </c>
      <c r="AB45" s="305">
        <f t="shared" si="2"/>
        <v>77.3709197245056</v>
      </c>
      <c r="AC45" s="305">
        <f t="shared" si="3"/>
        <v>8.52576333109753</v>
      </c>
      <c r="AD45" s="305">
        <f t="shared" si="4"/>
        <v>0</v>
      </c>
      <c r="AE45" s="305">
        <f t="shared" si="5"/>
        <v>14.1033169443969</v>
      </c>
      <c r="AF45" s="305">
        <f t="shared" si="6"/>
        <v>0</v>
      </c>
    </row>
    <row r="46" ht="30.25" customHeight="1" spans="1:12">
      <c r="A46" s="306"/>
      <c r="B46" s="328" t="s">
        <v>391</v>
      </c>
      <c r="C46" s="328" t="s">
        <v>391</v>
      </c>
      <c r="D46" s="306"/>
      <c r="E46" s="306"/>
      <c r="F46" s="306"/>
      <c r="G46" s="306"/>
      <c r="H46" s="306"/>
      <c r="I46" s="306"/>
      <c r="J46" s="306"/>
      <c r="K46" s="342" t="s">
        <v>420</v>
      </c>
      <c r="L46" s="342"/>
    </row>
    <row r="47" ht="84" spans="1:14">
      <c r="A47" s="306"/>
      <c r="B47" s="328" t="s">
        <v>393</v>
      </c>
      <c r="C47" s="328" t="s">
        <v>394</v>
      </c>
      <c r="D47" s="328" t="s">
        <v>395</v>
      </c>
      <c r="E47" s="328" t="s">
        <v>396</v>
      </c>
      <c r="F47" s="328" t="s">
        <v>183</v>
      </c>
      <c r="G47" s="328" t="s">
        <v>184</v>
      </c>
      <c r="H47" s="328" t="s">
        <v>397</v>
      </c>
      <c r="I47" s="328" t="s">
        <v>398</v>
      </c>
      <c r="J47" s="328" t="s">
        <v>399</v>
      </c>
      <c r="K47" s="328" t="s">
        <v>400</v>
      </c>
      <c r="L47" s="328" t="s">
        <v>401</v>
      </c>
      <c r="M47" s="343"/>
      <c r="N47" s="343"/>
    </row>
    <row r="48" ht="34" spans="1:24">
      <c r="A48" s="307" t="s">
        <v>154</v>
      </c>
      <c r="B48" s="329" t="s">
        <v>185</v>
      </c>
      <c r="C48" s="329" t="s">
        <v>185</v>
      </c>
      <c r="D48" s="329" t="s">
        <v>185</v>
      </c>
      <c r="E48" s="329" t="s">
        <v>185</v>
      </c>
      <c r="F48" s="329" t="s">
        <v>59</v>
      </c>
      <c r="G48" s="329" t="s">
        <v>402</v>
      </c>
      <c r="H48" s="329" t="s">
        <v>185</v>
      </c>
      <c r="I48" s="329" t="s">
        <v>403</v>
      </c>
      <c r="J48" s="329" t="s">
        <v>404</v>
      </c>
      <c r="K48" s="329" t="s">
        <v>122</v>
      </c>
      <c r="L48" s="329" t="s">
        <v>122</v>
      </c>
      <c r="M48" s="343"/>
      <c r="N48" s="343"/>
      <c r="X48" s="345"/>
    </row>
    <row r="49" spans="1:12">
      <c r="A49" s="312">
        <f t="shared" ref="A49:A60" si="7">C25</f>
        <v>42948</v>
      </c>
      <c r="B49" s="330"/>
      <c r="C49" s="330"/>
      <c r="D49" s="331"/>
      <c r="E49" s="330"/>
      <c r="F49" s="340">
        <f t="shared" ref="F49:F60" si="8">B49/K49/J49</f>
        <v>0</v>
      </c>
      <c r="G49" s="340">
        <f t="shared" ref="G49:G60" si="9">D49/L49/J49</f>
        <v>0</v>
      </c>
      <c r="H49" s="335">
        <f t="shared" ref="H49:H60" si="10">E49/L49/J49</f>
        <v>0</v>
      </c>
      <c r="I49" s="306">
        <v>30</v>
      </c>
      <c r="J49" s="306">
        <f t="shared" ref="J49:J60" si="11">I49*24</f>
        <v>720</v>
      </c>
      <c r="K49" s="331">
        <v>540</v>
      </c>
      <c r="L49" s="331">
        <v>603</v>
      </c>
    </row>
    <row r="50" spans="1:12">
      <c r="A50" s="312">
        <f t="shared" si="7"/>
        <v>42979</v>
      </c>
      <c r="B50" s="330"/>
      <c r="C50" s="330"/>
      <c r="D50" s="331"/>
      <c r="E50" s="330"/>
      <c r="F50" s="340">
        <f t="shared" si="8"/>
        <v>0</v>
      </c>
      <c r="G50" s="340">
        <f t="shared" si="9"/>
        <v>0</v>
      </c>
      <c r="H50" s="335">
        <f t="shared" si="10"/>
        <v>0</v>
      </c>
      <c r="I50" s="306">
        <v>31</v>
      </c>
      <c r="J50" s="306">
        <f t="shared" si="11"/>
        <v>744</v>
      </c>
      <c r="K50" s="331">
        <v>540</v>
      </c>
      <c r="L50" s="331">
        <v>603</v>
      </c>
    </row>
    <row r="51" spans="1:12">
      <c r="A51" s="312">
        <f t="shared" si="7"/>
        <v>43009</v>
      </c>
      <c r="B51" s="330"/>
      <c r="C51" s="330"/>
      <c r="D51" s="331"/>
      <c r="E51" s="330"/>
      <c r="F51" s="340">
        <f t="shared" si="8"/>
        <v>0</v>
      </c>
      <c r="G51" s="340">
        <f t="shared" si="9"/>
        <v>0</v>
      </c>
      <c r="H51" s="335">
        <f t="shared" si="10"/>
        <v>0</v>
      </c>
      <c r="I51" s="306">
        <v>30</v>
      </c>
      <c r="J51" s="306">
        <f t="shared" si="11"/>
        <v>720</v>
      </c>
      <c r="K51" s="331">
        <v>540</v>
      </c>
      <c r="L51" s="331">
        <v>603</v>
      </c>
    </row>
    <row r="52" spans="1:12">
      <c r="A52" s="312">
        <f t="shared" si="7"/>
        <v>43040</v>
      </c>
      <c r="B52" s="330"/>
      <c r="C52" s="330"/>
      <c r="D52" s="331"/>
      <c r="E52" s="330"/>
      <c r="F52" s="340">
        <f t="shared" si="8"/>
        <v>0</v>
      </c>
      <c r="G52" s="340">
        <f t="shared" si="9"/>
        <v>0</v>
      </c>
      <c r="H52" s="335">
        <f t="shared" si="10"/>
        <v>0</v>
      </c>
      <c r="I52" s="306">
        <v>31</v>
      </c>
      <c r="J52" s="306">
        <f t="shared" si="11"/>
        <v>744</v>
      </c>
      <c r="K52" s="331">
        <v>540</v>
      </c>
      <c r="L52" s="331">
        <v>603</v>
      </c>
    </row>
    <row r="53" spans="1:12">
      <c r="A53" s="312">
        <f t="shared" si="7"/>
        <v>43070</v>
      </c>
      <c r="B53" s="330"/>
      <c r="C53" s="330"/>
      <c r="D53" s="331"/>
      <c r="E53" s="330"/>
      <c r="F53" s="340">
        <f t="shared" si="8"/>
        <v>0</v>
      </c>
      <c r="G53" s="340">
        <f t="shared" si="9"/>
        <v>0</v>
      </c>
      <c r="H53" s="335">
        <f t="shared" si="10"/>
        <v>0</v>
      </c>
      <c r="I53" s="306">
        <v>31</v>
      </c>
      <c r="J53" s="306">
        <f t="shared" si="11"/>
        <v>744</v>
      </c>
      <c r="K53" s="331">
        <v>540</v>
      </c>
      <c r="L53" s="331">
        <v>603</v>
      </c>
    </row>
    <row r="54" spans="1:12">
      <c r="A54" s="312">
        <f t="shared" si="7"/>
        <v>43101</v>
      </c>
      <c r="B54" s="330"/>
      <c r="C54" s="330"/>
      <c r="D54" s="331"/>
      <c r="E54" s="330"/>
      <c r="F54" s="340">
        <f t="shared" si="8"/>
        <v>0</v>
      </c>
      <c r="G54" s="340">
        <f t="shared" si="9"/>
        <v>0</v>
      </c>
      <c r="H54" s="335">
        <f t="shared" si="10"/>
        <v>0</v>
      </c>
      <c r="I54" s="306">
        <v>28</v>
      </c>
      <c r="J54" s="306">
        <f t="shared" si="11"/>
        <v>672</v>
      </c>
      <c r="K54" s="331">
        <v>540</v>
      </c>
      <c r="L54" s="331">
        <v>603</v>
      </c>
    </row>
    <row r="55" spans="1:12">
      <c r="A55" s="312">
        <f t="shared" si="7"/>
        <v>43132</v>
      </c>
      <c r="B55" s="330"/>
      <c r="C55" s="330"/>
      <c r="D55" s="331"/>
      <c r="E55" s="330"/>
      <c r="F55" s="340">
        <f t="shared" si="8"/>
        <v>0</v>
      </c>
      <c r="G55" s="340">
        <f t="shared" si="9"/>
        <v>0</v>
      </c>
      <c r="H55" s="335">
        <f t="shared" si="10"/>
        <v>0</v>
      </c>
      <c r="I55" s="306">
        <v>31</v>
      </c>
      <c r="J55" s="306">
        <f t="shared" si="11"/>
        <v>744</v>
      </c>
      <c r="K55" s="331">
        <v>540</v>
      </c>
      <c r="L55" s="331">
        <v>603</v>
      </c>
    </row>
    <row r="56" spans="1:12">
      <c r="A56" s="312">
        <f t="shared" si="7"/>
        <v>43160</v>
      </c>
      <c r="B56" s="330"/>
      <c r="C56" s="330"/>
      <c r="D56" s="331"/>
      <c r="E56" s="330"/>
      <c r="F56" s="340">
        <f t="shared" si="8"/>
        <v>0</v>
      </c>
      <c r="G56" s="340">
        <f t="shared" si="9"/>
        <v>0</v>
      </c>
      <c r="H56" s="335">
        <f t="shared" si="10"/>
        <v>0</v>
      </c>
      <c r="I56" s="306">
        <v>30</v>
      </c>
      <c r="J56" s="306">
        <f t="shared" si="11"/>
        <v>720</v>
      </c>
      <c r="K56" s="331">
        <v>540</v>
      </c>
      <c r="L56" s="331">
        <v>603</v>
      </c>
    </row>
    <row r="57" spans="1:12">
      <c r="A57" s="312">
        <f t="shared" si="7"/>
        <v>43191</v>
      </c>
      <c r="B57" s="330"/>
      <c r="C57" s="330"/>
      <c r="D57" s="331"/>
      <c r="E57" s="330"/>
      <c r="F57" s="340">
        <f t="shared" si="8"/>
        <v>0</v>
      </c>
      <c r="G57" s="340">
        <f t="shared" si="9"/>
        <v>0</v>
      </c>
      <c r="H57" s="335">
        <f t="shared" si="10"/>
        <v>0</v>
      </c>
      <c r="I57" s="306">
        <v>31</v>
      </c>
      <c r="J57" s="306">
        <f t="shared" si="11"/>
        <v>744</v>
      </c>
      <c r="K57" s="331">
        <v>540</v>
      </c>
      <c r="L57" s="331">
        <v>603</v>
      </c>
    </row>
    <row r="58" spans="1:12">
      <c r="A58" s="312">
        <f t="shared" si="7"/>
        <v>43221</v>
      </c>
      <c r="B58" s="330"/>
      <c r="C58" s="330"/>
      <c r="D58" s="331"/>
      <c r="E58" s="330"/>
      <c r="F58" s="340">
        <f t="shared" si="8"/>
        <v>0</v>
      </c>
      <c r="G58" s="340">
        <f t="shared" si="9"/>
        <v>0</v>
      </c>
      <c r="H58" s="335">
        <f t="shared" si="10"/>
        <v>0</v>
      </c>
      <c r="I58" s="306">
        <v>30</v>
      </c>
      <c r="J58" s="306">
        <f t="shared" si="11"/>
        <v>720</v>
      </c>
      <c r="K58" s="331">
        <v>540</v>
      </c>
      <c r="L58" s="331">
        <v>603</v>
      </c>
    </row>
    <row r="59" spans="1:12">
      <c r="A59" s="312">
        <f t="shared" si="7"/>
        <v>43252</v>
      </c>
      <c r="B59" s="330"/>
      <c r="C59" s="330"/>
      <c r="D59" s="331"/>
      <c r="E59" s="330"/>
      <c r="F59" s="340">
        <f t="shared" si="8"/>
        <v>0</v>
      </c>
      <c r="G59" s="340">
        <f t="shared" si="9"/>
        <v>0</v>
      </c>
      <c r="H59" s="335">
        <f t="shared" si="10"/>
        <v>0</v>
      </c>
      <c r="I59" s="306">
        <v>31</v>
      </c>
      <c r="J59" s="306">
        <f t="shared" si="11"/>
        <v>744</v>
      </c>
      <c r="K59" s="331">
        <v>540</v>
      </c>
      <c r="L59" s="331">
        <v>603</v>
      </c>
    </row>
    <row r="60" spans="1:12">
      <c r="A60" s="332">
        <f t="shared" si="7"/>
        <v>43282</v>
      </c>
      <c r="B60" s="333"/>
      <c r="C60" s="333"/>
      <c r="D60" s="334"/>
      <c r="E60" s="333"/>
      <c r="F60" s="341">
        <f t="shared" si="8"/>
        <v>0</v>
      </c>
      <c r="G60" s="341">
        <f t="shared" si="9"/>
        <v>0</v>
      </c>
      <c r="H60" s="336">
        <f t="shared" si="10"/>
        <v>0</v>
      </c>
      <c r="I60" s="307">
        <v>30</v>
      </c>
      <c r="J60" s="307">
        <f t="shared" si="11"/>
        <v>720</v>
      </c>
      <c r="K60" s="334">
        <v>540</v>
      </c>
      <c r="L60" s="334">
        <v>603</v>
      </c>
    </row>
    <row r="61" spans="1:12">
      <c r="A61" s="306" t="s">
        <v>406</v>
      </c>
      <c r="B61" s="330" t="e">
        <f t="shared" ref="B61:H61" si="12">AVERAGE(B49:B60)</f>
        <v>#DIV/0!</v>
      </c>
      <c r="C61" s="330" t="e">
        <f t="shared" si="12"/>
        <v>#DIV/0!</v>
      </c>
      <c r="D61" s="330" t="e">
        <f t="shared" si="12"/>
        <v>#DIV/0!</v>
      </c>
      <c r="E61" s="330" t="e">
        <f t="shared" si="12"/>
        <v>#DIV/0!</v>
      </c>
      <c r="F61" s="340">
        <f t="shared" si="12"/>
        <v>0</v>
      </c>
      <c r="G61" s="340">
        <f t="shared" si="12"/>
        <v>0</v>
      </c>
      <c r="H61" s="335">
        <f t="shared" si="12"/>
        <v>0</v>
      </c>
      <c r="I61" s="306"/>
      <c r="J61" s="306"/>
      <c r="K61" s="306">
        <f>AVERAGE(K49:K60)</f>
        <v>540</v>
      </c>
      <c r="L61" s="306">
        <f>AVERAGE(L49:L60)</f>
        <v>603</v>
      </c>
    </row>
    <row r="62" spans="1:12">
      <c r="A62" s="306" t="s">
        <v>386</v>
      </c>
      <c r="B62" s="330">
        <f>SUM(B49:B60)</f>
        <v>0</v>
      </c>
      <c r="C62" s="330">
        <f>SUM(C49:C60)</f>
        <v>0</v>
      </c>
      <c r="D62" s="330">
        <f>SUM(D49:D60)</f>
        <v>0</v>
      </c>
      <c r="E62" s="330">
        <f>SUM(E49:E60)</f>
        <v>0</v>
      </c>
      <c r="F62" s="306"/>
      <c r="G62" s="306"/>
      <c r="H62" s="306"/>
      <c r="I62" s="306"/>
      <c r="J62" s="306"/>
      <c r="K62" s="306"/>
      <c r="L62" s="306"/>
    </row>
    <row r="63" spans="1:12">
      <c r="A63" s="306"/>
      <c r="B63" s="306"/>
      <c r="C63" s="306"/>
      <c r="D63" s="306"/>
      <c r="E63" s="306"/>
      <c r="F63" s="306" t="s">
        <v>407</v>
      </c>
      <c r="G63" s="306"/>
      <c r="H63" s="306"/>
      <c r="I63" s="306"/>
      <c r="J63" s="306"/>
      <c r="K63" s="306"/>
      <c r="L63" s="306"/>
    </row>
    <row r="64" spans="1:12">
      <c r="A64" s="306"/>
      <c r="B64" s="306"/>
      <c r="C64" s="306"/>
      <c r="D64" s="306"/>
      <c r="E64" s="306"/>
      <c r="F64" s="340">
        <f>(B62+E62)/((K61+L61)*8760)</f>
        <v>0</v>
      </c>
      <c r="G64" s="306" t="s">
        <v>408</v>
      </c>
      <c r="H64" s="306"/>
      <c r="I64" s="306"/>
      <c r="J64" s="306"/>
      <c r="K64" s="306"/>
      <c r="L64" s="306"/>
    </row>
    <row r="65" spans="1:12">
      <c r="A65" s="306"/>
      <c r="B65" s="306"/>
      <c r="C65" s="306"/>
      <c r="D65" s="306"/>
      <c r="E65" s="306"/>
      <c r="F65" s="306"/>
      <c r="G65" s="306" t="s">
        <v>409</v>
      </c>
      <c r="H65" s="306"/>
      <c r="I65" s="306"/>
      <c r="J65" s="306"/>
      <c r="K65" s="306"/>
      <c r="L65" s="306"/>
    </row>
    <row r="67" spans="6:6">
      <c r="F67" s="305">
        <f>B62/K61/8760</f>
        <v>0</v>
      </c>
    </row>
    <row r="70" ht="51" spans="2:4">
      <c r="B70" s="343" t="s">
        <v>899</v>
      </c>
      <c r="C70" s="343" t="s">
        <v>900</v>
      </c>
      <c r="D70" s="343" t="s">
        <v>901</v>
      </c>
    </row>
    <row r="71" ht="34" spans="1:4">
      <c r="A71" s="347"/>
      <c r="B71" s="348" t="s">
        <v>902</v>
      </c>
      <c r="C71" s="348" t="s">
        <v>902</v>
      </c>
      <c r="D71" s="348" t="s">
        <v>59</v>
      </c>
    </row>
    <row r="72" spans="1:4">
      <c r="A72" s="315">
        <f t="shared" ref="A72:A83" si="13">A49</f>
        <v>42948</v>
      </c>
      <c r="B72" s="349">
        <f>'[83]Tabellen für Auswertung'!N4</f>
        <v>23299.2000280645</v>
      </c>
      <c r="C72" s="349">
        <f>'[83]Tabellen für Auswertung'!Q4</f>
        <v>21155.9342299576</v>
      </c>
      <c r="D72" s="350">
        <f t="shared" ref="D72:D83" si="14">C72/B72</f>
        <v>0.908011185125442</v>
      </c>
    </row>
    <row r="73" spans="1:4">
      <c r="A73" s="315">
        <f t="shared" si="13"/>
        <v>42979</v>
      </c>
      <c r="B73" s="349">
        <f>'[83]Tabellen für Auswertung'!N5</f>
        <v>28541.3016666667</v>
      </c>
      <c r="C73" s="349">
        <f>'[83]Tabellen für Auswertung'!Q5</f>
        <v>27863.5590333333</v>
      </c>
      <c r="D73" s="350">
        <f t="shared" si="14"/>
        <v>0.976253969028859</v>
      </c>
    </row>
    <row r="74" spans="1:4">
      <c r="A74" s="315">
        <f t="shared" si="13"/>
        <v>43009</v>
      </c>
      <c r="B74" s="349">
        <f>'[83]Tabellen für Auswertung'!N6</f>
        <v>27092.1506451613</v>
      </c>
      <c r="C74" s="349">
        <f>'[83]Tabellen für Auswertung'!Q6</f>
        <v>25888.3244193548</v>
      </c>
      <c r="D74" s="350">
        <f t="shared" si="14"/>
        <v>0.955565497860486</v>
      </c>
    </row>
    <row r="75" spans="1:4">
      <c r="A75" s="315">
        <f t="shared" si="13"/>
        <v>43040</v>
      </c>
      <c r="B75" s="349">
        <f>'[83]Tabellen für Auswertung'!N7</f>
        <v>27313.8393659333</v>
      </c>
      <c r="C75" s="349">
        <f>'[83]Tabellen für Auswertung'!Q7</f>
        <v>27017.9653247249</v>
      </c>
      <c r="D75" s="350">
        <f t="shared" si="14"/>
        <v>0.989167614364113</v>
      </c>
    </row>
    <row r="76" spans="1:4">
      <c r="A76" s="315">
        <f t="shared" si="13"/>
        <v>43070</v>
      </c>
      <c r="B76" s="349">
        <f>'[83]Tabellen für Auswertung'!N8</f>
        <v>27044.5306435484</v>
      </c>
      <c r="C76" s="349">
        <f>'[83]Tabellen für Auswertung'!Q8</f>
        <v>26553.6895414426</v>
      </c>
      <c r="D76" s="350">
        <f t="shared" si="14"/>
        <v>0.981850633365572</v>
      </c>
    </row>
    <row r="77" spans="1:4">
      <c r="A77" s="315">
        <f t="shared" si="13"/>
        <v>43101</v>
      </c>
      <c r="B77" s="349">
        <f>'[83]Tabellen für Auswertung'!N9</f>
        <v>26816.97533</v>
      </c>
      <c r="C77" s="349">
        <f>'[83]Tabellen für Auswertung'!Q9</f>
        <v>26430.2917426082</v>
      </c>
      <c r="D77" s="350">
        <f t="shared" si="14"/>
        <v>0.985580641267949</v>
      </c>
    </row>
    <row r="78" spans="1:4">
      <c r="A78" s="315">
        <f t="shared" si="13"/>
        <v>43132</v>
      </c>
      <c r="B78" s="349">
        <f>'[83]Tabellen für Auswertung'!N10</f>
        <v>29304.7280264286</v>
      </c>
      <c r="C78" s="349">
        <f>'[83]Tabellen für Auswertung'!Q10</f>
        <v>28961.1313870737</v>
      </c>
      <c r="D78" s="350">
        <f t="shared" si="14"/>
        <v>0.98827504425071</v>
      </c>
    </row>
    <row r="79" spans="1:4">
      <c r="A79" s="315">
        <f t="shared" si="13"/>
        <v>43160</v>
      </c>
      <c r="B79" s="349">
        <f>'[83]Tabellen für Auswertung'!N11</f>
        <v>30411.5181406452</v>
      </c>
      <c r="C79" s="349">
        <f>'[83]Tabellen für Auswertung'!Q11</f>
        <v>30399.8005977478</v>
      </c>
      <c r="D79" s="350">
        <f t="shared" si="14"/>
        <v>0.999614700494623</v>
      </c>
    </row>
    <row r="80" spans="1:4">
      <c r="A80" s="315">
        <f t="shared" si="13"/>
        <v>43191</v>
      </c>
      <c r="B80" s="349">
        <f>'[83]Tabellen für Auswertung'!N12</f>
        <v>28413.916651</v>
      </c>
      <c r="C80" s="349">
        <f>'[83]Tabellen für Auswertung'!Q12</f>
        <v>28299.8541839777</v>
      </c>
      <c r="D80" s="350">
        <f t="shared" si="14"/>
        <v>0.995985683057238</v>
      </c>
    </row>
    <row r="81" spans="1:4">
      <c r="A81" s="315">
        <f t="shared" si="13"/>
        <v>43221</v>
      </c>
      <c r="B81" s="349">
        <f>'[83]Tabellen für Auswertung'!N13</f>
        <v>26933.5006370968</v>
      </c>
      <c r="C81" s="349">
        <f>'[83]Tabellen für Auswertung'!Q13</f>
        <v>26547.4996486075</v>
      </c>
      <c r="D81" s="350">
        <f t="shared" si="14"/>
        <v>0.985668369155191</v>
      </c>
    </row>
    <row r="82" spans="1:4">
      <c r="A82" s="315">
        <f t="shared" si="13"/>
        <v>43252</v>
      </c>
      <c r="B82" s="349">
        <f>'[83]Tabellen für Auswertung'!N14</f>
        <v>27075.6154353333</v>
      </c>
      <c r="C82" s="349">
        <f>'[83]Tabellen für Auswertung'!Q14</f>
        <v>26737.6829551297</v>
      </c>
      <c r="D82" s="350">
        <f t="shared" si="14"/>
        <v>0.987518936328124</v>
      </c>
    </row>
    <row r="83" spans="1:4">
      <c r="A83" s="351">
        <f t="shared" si="13"/>
        <v>43282</v>
      </c>
      <c r="B83" s="352">
        <f>'[83]Tabellen für Auswertung'!N15</f>
        <v>27126.1620477419</v>
      </c>
      <c r="C83" s="352">
        <f>'[83]Tabellen für Auswertung'!Q15</f>
        <v>26427.5789837332</v>
      </c>
      <c r="D83" s="353">
        <f t="shared" si="14"/>
        <v>0.974246888934041</v>
      </c>
    </row>
    <row r="84" spans="1:1">
      <c r="A84" s="305" t="s">
        <v>406</v>
      </c>
    </row>
    <row r="85" spans="1:1">
      <c r="A85" s="305" t="s">
        <v>386</v>
      </c>
    </row>
  </sheetData>
  <mergeCells count="1">
    <mergeCell ref="K46:L46"/>
  </mergeCells>
  <pageMargins left="0.7" right="0.7" top="0.787401575" bottom="0.787401575" header="0.3" footer="0.3"/>
  <pageSetup paperSize="9" orientation="portrait"/>
  <headerFooter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P68"/>
  <sheetViews>
    <sheetView zoomScale="115" zoomScaleNormal="115" workbookViewId="0">
      <selection activeCell="A1" sqref="A1"/>
    </sheetView>
  </sheetViews>
  <sheetFormatPr defaultColWidth="11.5" defaultRowHeight="14.4"/>
  <cols>
    <col min="1" max="1" width="11.5" style="156"/>
    <col min="2" max="2" width="28" style="156" customWidth="1"/>
    <col min="3" max="3" width="10.1634615384615" style="156" customWidth="1"/>
    <col min="4" max="4" width="11.5" style="156"/>
    <col min="5" max="5" width="3.16346153846154" style="156" customWidth="1"/>
    <col min="6" max="6" width="4.5" style="156" customWidth="1"/>
    <col min="7" max="7" width="11.5" style="156"/>
    <col min="8" max="8" width="16.6634615384615" style="156" customWidth="1"/>
    <col min="9" max="9" width="11.5" style="156"/>
    <col min="10" max="10" width="14.1634615384615" style="156" customWidth="1"/>
    <col min="11" max="13" width="11.5" style="156"/>
    <col min="14" max="14" width="17.8365384615385" style="156" customWidth="1"/>
    <col min="15" max="15" width="6" style="156" customWidth="1"/>
    <col min="16" max="257" width="11.5" style="156"/>
    <col min="258" max="258" width="28" style="156" customWidth="1"/>
    <col min="259" max="259" width="10.1634615384615" style="156" customWidth="1"/>
    <col min="260" max="260" width="11.5" style="156"/>
    <col min="261" max="261" width="3.16346153846154" style="156" customWidth="1"/>
    <col min="262" max="262" width="4.5" style="156" customWidth="1"/>
    <col min="263" max="269" width="11.5" style="156"/>
    <col min="270" max="270" width="17.8365384615385" style="156" customWidth="1"/>
    <col min="271" max="271" width="6" style="156" customWidth="1"/>
    <col min="272" max="513" width="11.5" style="156"/>
    <col min="514" max="514" width="28" style="156" customWidth="1"/>
    <col min="515" max="515" width="10.1634615384615" style="156" customWidth="1"/>
    <col min="516" max="516" width="11.5" style="156"/>
    <col min="517" max="517" width="3.16346153846154" style="156" customWidth="1"/>
    <col min="518" max="518" width="4.5" style="156" customWidth="1"/>
    <col min="519" max="525" width="11.5" style="156"/>
    <col min="526" max="526" width="17.8365384615385" style="156" customWidth="1"/>
    <col min="527" max="527" width="6" style="156" customWidth="1"/>
    <col min="528" max="769" width="11.5" style="156"/>
    <col min="770" max="770" width="28" style="156" customWidth="1"/>
    <col min="771" max="771" width="10.1634615384615" style="156" customWidth="1"/>
    <col min="772" max="772" width="11.5" style="156"/>
    <col min="773" max="773" width="3.16346153846154" style="156" customWidth="1"/>
    <col min="774" max="774" width="4.5" style="156" customWidth="1"/>
    <col min="775" max="781" width="11.5" style="156"/>
    <col min="782" max="782" width="17.8365384615385" style="156" customWidth="1"/>
    <col min="783" max="783" width="6" style="156" customWidth="1"/>
    <col min="784" max="1025" width="11.5" style="156"/>
    <col min="1026" max="1026" width="28" style="156" customWidth="1"/>
    <col min="1027" max="1027" width="10.1634615384615" style="156" customWidth="1"/>
    <col min="1028" max="1028" width="11.5" style="156"/>
    <col min="1029" max="1029" width="3.16346153846154" style="156" customWidth="1"/>
    <col min="1030" max="1030" width="4.5" style="156" customWidth="1"/>
    <col min="1031" max="1037" width="11.5" style="156"/>
    <col min="1038" max="1038" width="17.8365384615385" style="156" customWidth="1"/>
    <col min="1039" max="1039" width="6" style="156" customWidth="1"/>
    <col min="1040" max="1281" width="11.5" style="156"/>
    <col min="1282" max="1282" width="28" style="156" customWidth="1"/>
    <col min="1283" max="1283" width="10.1634615384615" style="156" customWidth="1"/>
    <col min="1284" max="1284" width="11.5" style="156"/>
    <col min="1285" max="1285" width="3.16346153846154" style="156" customWidth="1"/>
    <col min="1286" max="1286" width="4.5" style="156" customWidth="1"/>
    <col min="1287" max="1293" width="11.5" style="156"/>
    <col min="1294" max="1294" width="17.8365384615385" style="156" customWidth="1"/>
    <col min="1295" max="1295" width="6" style="156" customWidth="1"/>
    <col min="1296" max="1537" width="11.5" style="156"/>
    <col min="1538" max="1538" width="28" style="156" customWidth="1"/>
    <col min="1539" max="1539" width="10.1634615384615" style="156" customWidth="1"/>
    <col min="1540" max="1540" width="11.5" style="156"/>
    <col min="1541" max="1541" width="3.16346153846154" style="156" customWidth="1"/>
    <col min="1542" max="1542" width="4.5" style="156" customWidth="1"/>
    <col min="1543" max="1549" width="11.5" style="156"/>
    <col min="1550" max="1550" width="17.8365384615385" style="156" customWidth="1"/>
    <col min="1551" max="1551" width="6" style="156" customWidth="1"/>
    <col min="1552" max="1793" width="11.5" style="156"/>
    <col min="1794" max="1794" width="28" style="156" customWidth="1"/>
    <col min="1795" max="1795" width="10.1634615384615" style="156" customWidth="1"/>
    <col min="1796" max="1796" width="11.5" style="156"/>
    <col min="1797" max="1797" width="3.16346153846154" style="156" customWidth="1"/>
    <col min="1798" max="1798" width="4.5" style="156" customWidth="1"/>
    <col min="1799" max="1805" width="11.5" style="156"/>
    <col min="1806" max="1806" width="17.8365384615385" style="156" customWidth="1"/>
    <col min="1807" max="1807" width="6" style="156" customWidth="1"/>
    <col min="1808" max="2049" width="11.5" style="156"/>
    <col min="2050" max="2050" width="28" style="156" customWidth="1"/>
    <col min="2051" max="2051" width="10.1634615384615" style="156" customWidth="1"/>
    <col min="2052" max="2052" width="11.5" style="156"/>
    <col min="2053" max="2053" width="3.16346153846154" style="156" customWidth="1"/>
    <col min="2054" max="2054" width="4.5" style="156" customWidth="1"/>
    <col min="2055" max="2061" width="11.5" style="156"/>
    <col min="2062" max="2062" width="17.8365384615385" style="156" customWidth="1"/>
    <col min="2063" max="2063" width="6" style="156" customWidth="1"/>
    <col min="2064" max="2305" width="11.5" style="156"/>
    <col min="2306" max="2306" width="28" style="156" customWidth="1"/>
    <col min="2307" max="2307" width="10.1634615384615" style="156" customWidth="1"/>
    <col min="2308" max="2308" width="11.5" style="156"/>
    <col min="2309" max="2309" width="3.16346153846154" style="156" customWidth="1"/>
    <col min="2310" max="2310" width="4.5" style="156" customWidth="1"/>
    <col min="2311" max="2317" width="11.5" style="156"/>
    <col min="2318" max="2318" width="17.8365384615385" style="156" customWidth="1"/>
    <col min="2319" max="2319" width="6" style="156" customWidth="1"/>
    <col min="2320" max="2561" width="11.5" style="156"/>
    <col min="2562" max="2562" width="28" style="156" customWidth="1"/>
    <col min="2563" max="2563" width="10.1634615384615" style="156" customWidth="1"/>
    <col min="2564" max="2564" width="11.5" style="156"/>
    <col min="2565" max="2565" width="3.16346153846154" style="156" customWidth="1"/>
    <col min="2566" max="2566" width="4.5" style="156" customWidth="1"/>
    <col min="2567" max="2573" width="11.5" style="156"/>
    <col min="2574" max="2574" width="17.8365384615385" style="156" customWidth="1"/>
    <col min="2575" max="2575" width="6" style="156" customWidth="1"/>
    <col min="2576" max="2817" width="11.5" style="156"/>
    <col min="2818" max="2818" width="28" style="156" customWidth="1"/>
    <col min="2819" max="2819" width="10.1634615384615" style="156" customWidth="1"/>
    <col min="2820" max="2820" width="11.5" style="156"/>
    <col min="2821" max="2821" width="3.16346153846154" style="156" customWidth="1"/>
    <col min="2822" max="2822" width="4.5" style="156" customWidth="1"/>
    <col min="2823" max="2829" width="11.5" style="156"/>
    <col min="2830" max="2830" width="17.8365384615385" style="156" customWidth="1"/>
    <col min="2831" max="2831" width="6" style="156" customWidth="1"/>
    <col min="2832" max="3073" width="11.5" style="156"/>
    <col min="3074" max="3074" width="28" style="156" customWidth="1"/>
    <col min="3075" max="3075" width="10.1634615384615" style="156" customWidth="1"/>
    <col min="3076" max="3076" width="11.5" style="156"/>
    <col min="3077" max="3077" width="3.16346153846154" style="156" customWidth="1"/>
    <col min="3078" max="3078" width="4.5" style="156" customWidth="1"/>
    <col min="3079" max="3085" width="11.5" style="156"/>
    <col min="3086" max="3086" width="17.8365384615385" style="156" customWidth="1"/>
    <col min="3087" max="3087" width="6" style="156" customWidth="1"/>
    <col min="3088" max="3329" width="11.5" style="156"/>
    <col min="3330" max="3330" width="28" style="156" customWidth="1"/>
    <col min="3331" max="3331" width="10.1634615384615" style="156" customWidth="1"/>
    <col min="3332" max="3332" width="11.5" style="156"/>
    <col min="3333" max="3333" width="3.16346153846154" style="156" customWidth="1"/>
    <col min="3334" max="3334" width="4.5" style="156" customWidth="1"/>
    <col min="3335" max="3341" width="11.5" style="156"/>
    <col min="3342" max="3342" width="17.8365384615385" style="156" customWidth="1"/>
    <col min="3343" max="3343" width="6" style="156" customWidth="1"/>
    <col min="3344" max="3585" width="11.5" style="156"/>
    <col min="3586" max="3586" width="28" style="156" customWidth="1"/>
    <col min="3587" max="3587" width="10.1634615384615" style="156" customWidth="1"/>
    <col min="3588" max="3588" width="11.5" style="156"/>
    <col min="3589" max="3589" width="3.16346153846154" style="156" customWidth="1"/>
    <col min="3590" max="3590" width="4.5" style="156" customWidth="1"/>
    <col min="3591" max="3597" width="11.5" style="156"/>
    <col min="3598" max="3598" width="17.8365384615385" style="156" customWidth="1"/>
    <col min="3599" max="3599" width="6" style="156" customWidth="1"/>
    <col min="3600" max="3841" width="11.5" style="156"/>
    <col min="3842" max="3842" width="28" style="156" customWidth="1"/>
    <col min="3843" max="3843" width="10.1634615384615" style="156" customWidth="1"/>
    <col min="3844" max="3844" width="11.5" style="156"/>
    <col min="3845" max="3845" width="3.16346153846154" style="156" customWidth="1"/>
    <col min="3846" max="3846" width="4.5" style="156" customWidth="1"/>
    <col min="3847" max="3853" width="11.5" style="156"/>
    <col min="3854" max="3854" width="17.8365384615385" style="156" customWidth="1"/>
    <col min="3855" max="3855" width="6" style="156" customWidth="1"/>
    <col min="3856" max="4097" width="11.5" style="156"/>
    <col min="4098" max="4098" width="28" style="156" customWidth="1"/>
    <col min="4099" max="4099" width="10.1634615384615" style="156" customWidth="1"/>
    <col min="4100" max="4100" width="11.5" style="156"/>
    <col min="4101" max="4101" width="3.16346153846154" style="156" customWidth="1"/>
    <col min="4102" max="4102" width="4.5" style="156" customWidth="1"/>
    <col min="4103" max="4109" width="11.5" style="156"/>
    <col min="4110" max="4110" width="17.8365384615385" style="156" customWidth="1"/>
    <col min="4111" max="4111" width="6" style="156" customWidth="1"/>
    <col min="4112" max="4353" width="11.5" style="156"/>
    <col min="4354" max="4354" width="28" style="156" customWidth="1"/>
    <col min="4355" max="4355" width="10.1634615384615" style="156" customWidth="1"/>
    <col min="4356" max="4356" width="11.5" style="156"/>
    <col min="4357" max="4357" width="3.16346153846154" style="156" customWidth="1"/>
    <col min="4358" max="4358" width="4.5" style="156" customWidth="1"/>
    <col min="4359" max="4365" width="11.5" style="156"/>
    <col min="4366" max="4366" width="17.8365384615385" style="156" customWidth="1"/>
    <col min="4367" max="4367" width="6" style="156" customWidth="1"/>
    <col min="4368" max="4609" width="11.5" style="156"/>
    <col min="4610" max="4610" width="28" style="156" customWidth="1"/>
    <col min="4611" max="4611" width="10.1634615384615" style="156" customWidth="1"/>
    <col min="4612" max="4612" width="11.5" style="156"/>
    <col min="4613" max="4613" width="3.16346153846154" style="156" customWidth="1"/>
    <col min="4614" max="4614" width="4.5" style="156" customWidth="1"/>
    <col min="4615" max="4621" width="11.5" style="156"/>
    <col min="4622" max="4622" width="17.8365384615385" style="156" customWidth="1"/>
    <col min="4623" max="4623" width="6" style="156" customWidth="1"/>
    <col min="4624" max="4865" width="11.5" style="156"/>
    <col min="4866" max="4866" width="28" style="156" customWidth="1"/>
    <col min="4867" max="4867" width="10.1634615384615" style="156" customWidth="1"/>
    <col min="4868" max="4868" width="11.5" style="156"/>
    <col min="4869" max="4869" width="3.16346153846154" style="156" customWidth="1"/>
    <col min="4870" max="4870" width="4.5" style="156" customWidth="1"/>
    <col min="4871" max="4877" width="11.5" style="156"/>
    <col min="4878" max="4878" width="17.8365384615385" style="156" customWidth="1"/>
    <col min="4879" max="4879" width="6" style="156" customWidth="1"/>
    <col min="4880" max="5121" width="11.5" style="156"/>
    <col min="5122" max="5122" width="28" style="156" customWidth="1"/>
    <col min="5123" max="5123" width="10.1634615384615" style="156" customWidth="1"/>
    <col min="5124" max="5124" width="11.5" style="156"/>
    <col min="5125" max="5125" width="3.16346153846154" style="156" customWidth="1"/>
    <col min="5126" max="5126" width="4.5" style="156" customWidth="1"/>
    <col min="5127" max="5133" width="11.5" style="156"/>
    <col min="5134" max="5134" width="17.8365384615385" style="156" customWidth="1"/>
    <col min="5135" max="5135" width="6" style="156" customWidth="1"/>
    <col min="5136" max="5377" width="11.5" style="156"/>
    <col min="5378" max="5378" width="28" style="156" customWidth="1"/>
    <col min="5379" max="5379" width="10.1634615384615" style="156" customWidth="1"/>
    <col min="5380" max="5380" width="11.5" style="156"/>
    <col min="5381" max="5381" width="3.16346153846154" style="156" customWidth="1"/>
    <col min="5382" max="5382" width="4.5" style="156" customWidth="1"/>
    <col min="5383" max="5389" width="11.5" style="156"/>
    <col min="5390" max="5390" width="17.8365384615385" style="156" customWidth="1"/>
    <col min="5391" max="5391" width="6" style="156" customWidth="1"/>
    <col min="5392" max="5633" width="11.5" style="156"/>
    <col min="5634" max="5634" width="28" style="156" customWidth="1"/>
    <col min="5635" max="5635" width="10.1634615384615" style="156" customWidth="1"/>
    <col min="5636" max="5636" width="11.5" style="156"/>
    <col min="5637" max="5637" width="3.16346153846154" style="156" customWidth="1"/>
    <col min="5638" max="5638" width="4.5" style="156" customWidth="1"/>
    <col min="5639" max="5645" width="11.5" style="156"/>
    <col min="5646" max="5646" width="17.8365384615385" style="156" customWidth="1"/>
    <col min="5647" max="5647" width="6" style="156" customWidth="1"/>
    <col min="5648" max="5889" width="11.5" style="156"/>
    <col min="5890" max="5890" width="28" style="156" customWidth="1"/>
    <col min="5891" max="5891" width="10.1634615384615" style="156" customWidth="1"/>
    <col min="5892" max="5892" width="11.5" style="156"/>
    <col min="5893" max="5893" width="3.16346153846154" style="156" customWidth="1"/>
    <col min="5894" max="5894" width="4.5" style="156" customWidth="1"/>
    <col min="5895" max="5901" width="11.5" style="156"/>
    <col min="5902" max="5902" width="17.8365384615385" style="156" customWidth="1"/>
    <col min="5903" max="5903" width="6" style="156" customWidth="1"/>
    <col min="5904" max="6145" width="11.5" style="156"/>
    <col min="6146" max="6146" width="28" style="156" customWidth="1"/>
    <col min="6147" max="6147" width="10.1634615384615" style="156" customWidth="1"/>
    <col min="6148" max="6148" width="11.5" style="156"/>
    <col min="6149" max="6149" width="3.16346153846154" style="156" customWidth="1"/>
    <col min="6150" max="6150" width="4.5" style="156" customWidth="1"/>
    <col min="6151" max="6157" width="11.5" style="156"/>
    <col min="6158" max="6158" width="17.8365384615385" style="156" customWidth="1"/>
    <col min="6159" max="6159" width="6" style="156" customWidth="1"/>
    <col min="6160" max="6401" width="11.5" style="156"/>
    <col min="6402" max="6402" width="28" style="156" customWidth="1"/>
    <col min="6403" max="6403" width="10.1634615384615" style="156" customWidth="1"/>
    <col min="6404" max="6404" width="11.5" style="156"/>
    <col min="6405" max="6405" width="3.16346153846154" style="156" customWidth="1"/>
    <col min="6406" max="6406" width="4.5" style="156" customWidth="1"/>
    <col min="6407" max="6413" width="11.5" style="156"/>
    <col min="6414" max="6414" width="17.8365384615385" style="156" customWidth="1"/>
    <col min="6415" max="6415" width="6" style="156" customWidth="1"/>
    <col min="6416" max="6657" width="11.5" style="156"/>
    <col min="6658" max="6658" width="28" style="156" customWidth="1"/>
    <col min="6659" max="6659" width="10.1634615384615" style="156" customWidth="1"/>
    <col min="6660" max="6660" width="11.5" style="156"/>
    <col min="6661" max="6661" width="3.16346153846154" style="156" customWidth="1"/>
    <col min="6662" max="6662" width="4.5" style="156" customWidth="1"/>
    <col min="6663" max="6669" width="11.5" style="156"/>
    <col min="6670" max="6670" width="17.8365384615385" style="156" customWidth="1"/>
    <col min="6671" max="6671" width="6" style="156" customWidth="1"/>
    <col min="6672" max="6913" width="11.5" style="156"/>
    <col min="6914" max="6914" width="28" style="156" customWidth="1"/>
    <col min="6915" max="6915" width="10.1634615384615" style="156" customWidth="1"/>
    <col min="6916" max="6916" width="11.5" style="156"/>
    <col min="6917" max="6917" width="3.16346153846154" style="156" customWidth="1"/>
    <col min="6918" max="6918" width="4.5" style="156" customWidth="1"/>
    <col min="6919" max="6925" width="11.5" style="156"/>
    <col min="6926" max="6926" width="17.8365384615385" style="156" customWidth="1"/>
    <col min="6927" max="6927" width="6" style="156" customWidth="1"/>
    <col min="6928" max="7169" width="11.5" style="156"/>
    <col min="7170" max="7170" width="28" style="156" customWidth="1"/>
    <col min="7171" max="7171" width="10.1634615384615" style="156" customWidth="1"/>
    <col min="7172" max="7172" width="11.5" style="156"/>
    <col min="7173" max="7173" width="3.16346153846154" style="156" customWidth="1"/>
    <col min="7174" max="7174" width="4.5" style="156" customWidth="1"/>
    <col min="7175" max="7181" width="11.5" style="156"/>
    <col min="7182" max="7182" width="17.8365384615385" style="156" customWidth="1"/>
    <col min="7183" max="7183" width="6" style="156" customWidth="1"/>
    <col min="7184" max="7425" width="11.5" style="156"/>
    <col min="7426" max="7426" width="28" style="156" customWidth="1"/>
    <col min="7427" max="7427" width="10.1634615384615" style="156" customWidth="1"/>
    <col min="7428" max="7428" width="11.5" style="156"/>
    <col min="7429" max="7429" width="3.16346153846154" style="156" customWidth="1"/>
    <col min="7430" max="7430" width="4.5" style="156" customWidth="1"/>
    <col min="7431" max="7437" width="11.5" style="156"/>
    <col min="7438" max="7438" width="17.8365384615385" style="156" customWidth="1"/>
    <col min="7439" max="7439" width="6" style="156" customWidth="1"/>
    <col min="7440" max="7681" width="11.5" style="156"/>
    <col min="7682" max="7682" width="28" style="156" customWidth="1"/>
    <col min="7683" max="7683" width="10.1634615384615" style="156" customWidth="1"/>
    <col min="7684" max="7684" width="11.5" style="156"/>
    <col min="7685" max="7685" width="3.16346153846154" style="156" customWidth="1"/>
    <col min="7686" max="7686" width="4.5" style="156" customWidth="1"/>
    <col min="7687" max="7693" width="11.5" style="156"/>
    <col min="7694" max="7694" width="17.8365384615385" style="156" customWidth="1"/>
    <col min="7695" max="7695" width="6" style="156" customWidth="1"/>
    <col min="7696" max="7937" width="11.5" style="156"/>
    <col min="7938" max="7938" width="28" style="156" customWidth="1"/>
    <col min="7939" max="7939" width="10.1634615384615" style="156" customWidth="1"/>
    <col min="7940" max="7940" width="11.5" style="156"/>
    <col min="7941" max="7941" width="3.16346153846154" style="156" customWidth="1"/>
    <col min="7942" max="7942" width="4.5" style="156" customWidth="1"/>
    <col min="7943" max="7949" width="11.5" style="156"/>
    <col min="7950" max="7950" width="17.8365384615385" style="156" customWidth="1"/>
    <col min="7951" max="7951" width="6" style="156" customWidth="1"/>
    <col min="7952" max="8193" width="11.5" style="156"/>
    <col min="8194" max="8194" width="28" style="156" customWidth="1"/>
    <col min="8195" max="8195" width="10.1634615384615" style="156" customWidth="1"/>
    <col min="8196" max="8196" width="11.5" style="156"/>
    <col min="8197" max="8197" width="3.16346153846154" style="156" customWidth="1"/>
    <col min="8198" max="8198" width="4.5" style="156" customWidth="1"/>
    <col min="8199" max="8205" width="11.5" style="156"/>
    <col min="8206" max="8206" width="17.8365384615385" style="156" customWidth="1"/>
    <col min="8207" max="8207" width="6" style="156" customWidth="1"/>
    <col min="8208" max="8449" width="11.5" style="156"/>
    <col min="8450" max="8450" width="28" style="156" customWidth="1"/>
    <col min="8451" max="8451" width="10.1634615384615" style="156" customWidth="1"/>
    <col min="8452" max="8452" width="11.5" style="156"/>
    <col min="8453" max="8453" width="3.16346153846154" style="156" customWidth="1"/>
    <col min="8454" max="8454" width="4.5" style="156" customWidth="1"/>
    <col min="8455" max="8461" width="11.5" style="156"/>
    <col min="8462" max="8462" width="17.8365384615385" style="156" customWidth="1"/>
    <col min="8463" max="8463" width="6" style="156" customWidth="1"/>
    <col min="8464" max="8705" width="11.5" style="156"/>
    <col min="8706" max="8706" width="28" style="156" customWidth="1"/>
    <col min="8707" max="8707" width="10.1634615384615" style="156" customWidth="1"/>
    <col min="8708" max="8708" width="11.5" style="156"/>
    <col min="8709" max="8709" width="3.16346153846154" style="156" customWidth="1"/>
    <col min="8710" max="8710" width="4.5" style="156" customWidth="1"/>
    <col min="8711" max="8717" width="11.5" style="156"/>
    <col min="8718" max="8718" width="17.8365384615385" style="156" customWidth="1"/>
    <col min="8719" max="8719" width="6" style="156" customWidth="1"/>
    <col min="8720" max="8961" width="11.5" style="156"/>
    <col min="8962" max="8962" width="28" style="156" customWidth="1"/>
    <col min="8963" max="8963" width="10.1634615384615" style="156" customWidth="1"/>
    <col min="8964" max="8964" width="11.5" style="156"/>
    <col min="8965" max="8965" width="3.16346153846154" style="156" customWidth="1"/>
    <col min="8966" max="8966" width="4.5" style="156" customWidth="1"/>
    <col min="8967" max="8973" width="11.5" style="156"/>
    <col min="8974" max="8974" width="17.8365384615385" style="156" customWidth="1"/>
    <col min="8975" max="8975" width="6" style="156" customWidth="1"/>
    <col min="8976" max="9217" width="11.5" style="156"/>
    <col min="9218" max="9218" width="28" style="156" customWidth="1"/>
    <col min="9219" max="9219" width="10.1634615384615" style="156" customWidth="1"/>
    <col min="9220" max="9220" width="11.5" style="156"/>
    <col min="9221" max="9221" width="3.16346153846154" style="156" customWidth="1"/>
    <col min="9222" max="9222" width="4.5" style="156" customWidth="1"/>
    <col min="9223" max="9229" width="11.5" style="156"/>
    <col min="9230" max="9230" width="17.8365384615385" style="156" customWidth="1"/>
    <col min="9231" max="9231" width="6" style="156" customWidth="1"/>
    <col min="9232" max="9473" width="11.5" style="156"/>
    <col min="9474" max="9474" width="28" style="156" customWidth="1"/>
    <col min="9475" max="9475" width="10.1634615384615" style="156" customWidth="1"/>
    <col min="9476" max="9476" width="11.5" style="156"/>
    <col min="9477" max="9477" width="3.16346153846154" style="156" customWidth="1"/>
    <col min="9478" max="9478" width="4.5" style="156" customWidth="1"/>
    <col min="9479" max="9485" width="11.5" style="156"/>
    <col min="9486" max="9486" width="17.8365384615385" style="156" customWidth="1"/>
    <col min="9487" max="9487" width="6" style="156" customWidth="1"/>
    <col min="9488" max="9729" width="11.5" style="156"/>
    <col min="9730" max="9730" width="28" style="156" customWidth="1"/>
    <col min="9731" max="9731" width="10.1634615384615" style="156" customWidth="1"/>
    <col min="9732" max="9732" width="11.5" style="156"/>
    <col min="9733" max="9733" width="3.16346153846154" style="156" customWidth="1"/>
    <col min="9734" max="9734" width="4.5" style="156" customWidth="1"/>
    <col min="9735" max="9741" width="11.5" style="156"/>
    <col min="9742" max="9742" width="17.8365384615385" style="156" customWidth="1"/>
    <col min="9743" max="9743" width="6" style="156" customWidth="1"/>
    <col min="9744" max="9985" width="11.5" style="156"/>
    <col min="9986" max="9986" width="28" style="156" customWidth="1"/>
    <col min="9987" max="9987" width="10.1634615384615" style="156" customWidth="1"/>
    <col min="9988" max="9988" width="11.5" style="156"/>
    <col min="9989" max="9989" width="3.16346153846154" style="156" customWidth="1"/>
    <col min="9990" max="9990" width="4.5" style="156" customWidth="1"/>
    <col min="9991" max="9997" width="11.5" style="156"/>
    <col min="9998" max="9998" width="17.8365384615385" style="156" customWidth="1"/>
    <col min="9999" max="9999" width="6" style="156" customWidth="1"/>
    <col min="10000" max="10241" width="11.5" style="156"/>
    <col min="10242" max="10242" width="28" style="156" customWidth="1"/>
    <col min="10243" max="10243" width="10.1634615384615" style="156" customWidth="1"/>
    <col min="10244" max="10244" width="11.5" style="156"/>
    <col min="10245" max="10245" width="3.16346153846154" style="156" customWidth="1"/>
    <col min="10246" max="10246" width="4.5" style="156" customWidth="1"/>
    <col min="10247" max="10253" width="11.5" style="156"/>
    <col min="10254" max="10254" width="17.8365384615385" style="156" customWidth="1"/>
    <col min="10255" max="10255" width="6" style="156" customWidth="1"/>
    <col min="10256" max="10497" width="11.5" style="156"/>
    <col min="10498" max="10498" width="28" style="156" customWidth="1"/>
    <col min="10499" max="10499" width="10.1634615384615" style="156" customWidth="1"/>
    <col min="10500" max="10500" width="11.5" style="156"/>
    <col min="10501" max="10501" width="3.16346153846154" style="156" customWidth="1"/>
    <col min="10502" max="10502" width="4.5" style="156" customWidth="1"/>
    <col min="10503" max="10509" width="11.5" style="156"/>
    <col min="10510" max="10510" width="17.8365384615385" style="156" customWidth="1"/>
    <col min="10511" max="10511" width="6" style="156" customWidth="1"/>
    <col min="10512" max="10753" width="11.5" style="156"/>
    <col min="10754" max="10754" width="28" style="156" customWidth="1"/>
    <col min="10755" max="10755" width="10.1634615384615" style="156" customWidth="1"/>
    <col min="10756" max="10756" width="11.5" style="156"/>
    <col min="10757" max="10757" width="3.16346153846154" style="156" customWidth="1"/>
    <col min="10758" max="10758" width="4.5" style="156" customWidth="1"/>
    <col min="10759" max="10765" width="11.5" style="156"/>
    <col min="10766" max="10766" width="17.8365384615385" style="156" customWidth="1"/>
    <col min="10767" max="10767" width="6" style="156" customWidth="1"/>
    <col min="10768" max="11009" width="11.5" style="156"/>
    <col min="11010" max="11010" width="28" style="156" customWidth="1"/>
    <col min="11011" max="11011" width="10.1634615384615" style="156" customWidth="1"/>
    <col min="11012" max="11012" width="11.5" style="156"/>
    <col min="11013" max="11013" width="3.16346153846154" style="156" customWidth="1"/>
    <col min="11014" max="11014" width="4.5" style="156" customWidth="1"/>
    <col min="11015" max="11021" width="11.5" style="156"/>
    <col min="11022" max="11022" width="17.8365384615385" style="156" customWidth="1"/>
    <col min="11023" max="11023" width="6" style="156" customWidth="1"/>
    <col min="11024" max="11265" width="11.5" style="156"/>
    <col min="11266" max="11266" width="28" style="156" customWidth="1"/>
    <col min="11267" max="11267" width="10.1634615384615" style="156" customWidth="1"/>
    <col min="11268" max="11268" width="11.5" style="156"/>
    <col min="11269" max="11269" width="3.16346153846154" style="156" customWidth="1"/>
    <col min="11270" max="11270" width="4.5" style="156" customWidth="1"/>
    <col min="11271" max="11277" width="11.5" style="156"/>
    <col min="11278" max="11278" width="17.8365384615385" style="156" customWidth="1"/>
    <col min="11279" max="11279" width="6" style="156" customWidth="1"/>
    <col min="11280" max="11521" width="11.5" style="156"/>
    <col min="11522" max="11522" width="28" style="156" customWidth="1"/>
    <col min="11523" max="11523" width="10.1634615384615" style="156" customWidth="1"/>
    <col min="11524" max="11524" width="11.5" style="156"/>
    <col min="11525" max="11525" width="3.16346153846154" style="156" customWidth="1"/>
    <col min="11526" max="11526" width="4.5" style="156" customWidth="1"/>
    <col min="11527" max="11533" width="11.5" style="156"/>
    <col min="11534" max="11534" width="17.8365384615385" style="156" customWidth="1"/>
    <col min="11535" max="11535" width="6" style="156" customWidth="1"/>
    <col min="11536" max="11777" width="11.5" style="156"/>
    <col min="11778" max="11778" width="28" style="156" customWidth="1"/>
    <col min="11779" max="11779" width="10.1634615384615" style="156" customWidth="1"/>
    <col min="11780" max="11780" width="11.5" style="156"/>
    <col min="11781" max="11781" width="3.16346153846154" style="156" customWidth="1"/>
    <col min="11782" max="11782" width="4.5" style="156" customWidth="1"/>
    <col min="11783" max="11789" width="11.5" style="156"/>
    <col min="11790" max="11790" width="17.8365384615385" style="156" customWidth="1"/>
    <col min="11791" max="11791" width="6" style="156" customWidth="1"/>
    <col min="11792" max="12033" width="11.5" style="156"/>
    <col min="12034" max="12034" width="28" style="156" customWidth="1"/>
    <col min="12035" max="12035" width="10.1634615384615" style="156" customWidth="1"/>
    <col min="12036" max="12036" width="11.5" style="156"/>
    <col min="12037" max="12037" width="3.16346153846154" style="156" customWidth="1"/>
    <col min="12038" max="12038" width="4.5" style="156" customWidth="1"/>
    <col min="12039" max="12045" width="11.5" style="156"/>
    <col min="12046" max="12046" width="17.8365384615385" style="156" customWidth="1"/>
    <col min="12047" max="12047" width="6" style="156" customWidth="1"/>
    <col min="12048" max="12289" width="11.5" style="156"/>
    <col min="12290" max="12290" width="28" style="156" customWidth="1"/>
    <col min="12291" max="12291" width="10.1634615384615" style="156" customWidth="1"/>
    <col min="12292" max="12292" width="11.5" style="156"/>
    <col min="12293" max="12293" width="3.16346153846154" style="156" customWidth="1"/>
    <col min="12294" max="12294" width="4.5" style="156" customWidth="1"/>
    <col min="12295" max="12301" width="11.5" style="156"/>
    <col min="12302" max="12302" width="17.8365384615385" style="156" customWidth="1"/>
    <col min="12303" max="12303" width="6" style="156" customWidth="1"/>
    <col min="12304" max="12545" width="11.5" style="156"/>
    <col min="12546" max="12546" width="28" style="156" customWidth="1"/>
    <col min="12547" max="12547" width="10.1634615384615" style="156" customWidth="1"/>
    <col min="12548" max="12548" width="11.5" style="156"/>
    <col min="12549" max="12549" width="3.16346153846154" style="156" customWidth="1"/>
    <col min="12550" max="12550" width="4.5" style="156" customWidth="1"/>
    <col min="12551" max="12557" width="11.5" style="156"/>
    <col min="12558" max="12558" width="17.8365384615385" style="156" customWidth="1"/>
    <col min="12559" max="12559" width="6" style="156" customWidth="1"/>
    <col min="12560" max="12801" width="11.5" style="156"/>
    <col min="12802" max="12802" width="28" style="156" customWidth="1"/>
    <col min="12803" max="12803" width="10.1634615384615" style="156" customWidth="1"/>
    <col min="12804" max="12804" width="11.5" style="156"/>
    <col min="12805" max="12805" width="3.16346153846154" style="156" customWidth="1"/>
    <col min="12806" max="12806" width="4.5" style="156" customWidth="1"/>
    <col min="12807" max="12813" width="11.5" style="156"/>
    <col min="12814" max="12814" width="17.8365384615385" style="156" customWidth="1"/>
    <col min="12815" max="12815" width="6" style="156" customWidth="1"/>
    <col min="12816" max="13057" width="11.5" style="156"/>
    <col min="13058" max="13058" width="28" style="156" customWidth="1"/>
    <col min="13059" max="13059" width="10.1634615384615" style="156" customWidth="1"/>
    <col min="13060" max="13060" width="11.5" style="156"/>
    <col min="13061" max="13061" width="3.16346153846154" style="156" customWidth="1"/>
    <col min="13062" max="13062" width="4.5" style="156" customWidth="1"/>
    <col min="13063" max="13069" width="11.5" style="156"/>
    <col min="13070" max="13070" width="17.8365384615385" style="156" customWidth="1"/>
    <col min="13071" max="13071" width="6" style="156" customWidth="1"/>
    <col min="13072" max="13313" width="11.5" style="156"/>
    <col min="13314" max="13314" width="28" style="156" customWidth="1"/>
    <col min="13315" max="13315" width="10.1634615384615" style="156" customWidth="1"/>
    <col min="13316" max="13316" width="11.5" style="156"/>
    <col min="13317" max="13317" width="3.16346153846154" style="156" customWidth="1"/>
    <col min="13318" max="13318" width="4.5" style="156" customWidth="1"/>
    <col min="13319" max="13325" width="11.5" style="156"/>
    <col min="13326" max="13326" width="17.8365384615385" style="156" customWidth="1"/>
    <col min="13327" max="13327" width="6" style="156" customWidth="1"/>
    <col min="13328" max="13569" width="11.5" style="156"/>
    <col min="13570" max="13570" width="28" style="156" customWidth="1"/>
    <col min="13571" max="13571" width="10.1634615384615" style="156" customWidth="1"/>
    <col min="13572" max="13572" width="11.5" style="156"/>
    <col min="13573" max="13573" width="3.16346153846154" style="156" customWidth="1"/>
    <col min="13574" max="13574" width="4.5" style="156" customWidth="1"/>
    <col min="13575" max="13581" width="11.5" style="156"/>
    <col min="13582" max="13582" width="17.8365384615385" style="156" customWidth="1"/>
    <col min="13583" max="13583" width="6" style="156" customWidth="1"/>
    <col min="13584" max="13825" width="11.5" style="156"/>
    <col min="13826" max="13826" width="28" style="156" customWidth="1"/>
    <col min="13827" max="13827" width="10.1634615384615" style="156" customWidth="1"/>
    <col min="13828" max="13828" width="11.5" style="156"/>
    <col min="13829" max="13829" width="3.16346153846154" style="156" customWidth="1"/>
    <col min="13830" max="13830" width="4.5" style="156" customWidth="1"/>
    <col min="13831" max="13837" width="11.5" style="156"/>
    <col min="13838" max="13838" width="17.8365384615385" style="156" customWidth="1"/>
    <col min="13839" max="13839" width="6" style="156" customWidth="1"/>
    <col min="13840" max="14081" width="11.5" style="156"/>
    <col min="14082" max="14082" width="28" style="156" customWidth="1"/>
    <col min="14083" max="14083" width="10.1634615384615" style="156" customWidth="1"/>
    <col min="14084" max="14084" width="11.5" style="156"/>
    <col min="14085" max="14085" width="3.16346153846154" style="156" customWidth="1"/>
    <col min="14086" max="14086" width="4.5" style="156" customWidth="1"/>
    <col min="14087" max="14093" width="11.5" style="156"/>
    <col min="14094" max="14094" width="17.8365384615385" style="156" customWidth="1"/>
    <col min="14095" max="14095" width="6" style="156" customWidth="1"/>
    <col min="14096" max="14337" width="11.5" style="156"/>
    <col min="14338" max="14338" width="28" style="156" customWidth="1"/>
    <col min="14339" max="14339" width="10.1634615384615" style="156" customWidth="1"/>
    <col min="14340" max="14340" width="11.5" style="156"/>
    <col min="14341" max="14341" width="3.16346153846154" style="156" customWidth="1"/>
    <col min="14342" max="14342" width="4.5" style="156" customWidth="1"/>
    <col min="14343" max="14349" width="11.5" style="156"/>
    <col min="14350" max="14350" width="17.8365384615385" style="156" customWidth="1"/>
    <col min="14351" max="14351" width="6" style="156" customWidth="1"/>
    <col min="14352" max="14593" width="11.5" style="156"/>
    <col min="14594" max="14594" width="28" style="156" customWidth="1"/>
    <col min="14595" max="14595" width="10.1634615384615" style="156" customWidth="1"/>
    <col min="14596" max="14596" width="11.5" style="156"/>
    <col min="14597" max="14597" width="3.16346153846154" style="156" customWidth="1"/>
    <col min="14598" max="14598" width="4.5" style="156" customWidth="1"/>
    <col min="14599" max="14605" width="11.5" style="156"/>
    <col min="14606" max="14606" width="17.8365384615385" style="156" customWidth="1"/>
    <col min="14607" max="14607" width="6" style="156" customWidth="1"/>
    <col min="14608" max="14849" width="11.5" style="156"/>
    <col min="14850" max="14850" width="28" style="156" customWidth="1"/>
    <col min="14851" max="14851" width="10.1634615384615" style="156" customWidth="1"/>
    <col min="14852" max="14852" width="11.5" style="156"/>
    <col min="14853" max="14853" width="3.16346153846154" style="156" customWidth="1"/>
    <col min="14854" max="14854" width="4.5" style="156" customWidth="1"/>
    <col min="14855" max="14861" width="11.5" style="156"/>
    <col min="14862" max="14862" width="17.8365384615385" style="156" customWidth="1"/>
    <col min="14863" max="14863" width="6" style="156" customWidth="1"/>
    <col min="14864" max="15105" width="11.5" style="156"/>
    <col min="15106" max="15106" width="28" style="156" customWidth="1"/>
    <col min="15107" max="15107" width="10.1634615384615" style="156" customWidth="1"/>
    <col min="15108" max="15108" width="11.5" style="156"/>
    <col min="15109" max="15109" width="3.16346153846154" style="156" customWidth="1"/>
    <col min="15110" max="15110" width="4.5" style="156" customWidth="1"/>
    <col min="15111" max="15117" width="11.5" style="156"/>
    <col min="15118" max="15118" width="17.8365384615385" style="156" customWidth="1"/>
    <col min="15119" max="15119" width="6" style="156" customWidth="1"/>
    <col min="15120" max="15361" width="11.5" style="156"/>
    <col min="15362" max="15362" width="28" style="156" customWidth="1"/>
    <col min="15363" max="15363" width="10.1634615384615" style="156" customWidth="1"/>
    <col min="15364" max="15364" width="11.5" style="156"/>
    <col min="15365" max="15365" width="3.16346153846154" style="156" customWidth="1"/>
    <col min="15366" max="15366" width="4.5" style="156" customWidth="1"/>
    <col min="15367" max="15373" width="11.5" style="156"/>
    <col min="15374" max="15374" width="17.8365384615385" style="156" customWidth="1"/>
    <col min="15375" max="15375" width="6" style="156" customWidth="1"/>
    <col min="15376" max="15617" width="11.5" style="156"/>
    <col min="15618" max="15618" width="28" style="156" customWidth="1"/>
    <col min="15619" max="15619" width="10.1634615384615" style="156" customWidth="1"/>
    <col min="15620" max="15620" width="11.5" style="156"/>
    <col min="15621" max="15621" width="3.16346153846154" style="156" customWidth="1"/>
    <col min="15622" max="15622" width="4.5" style="156" customWidth="1"/>
    <col min="15623" max="15629" width="11.5" style="156"/>
    <col min="15630" max="15630" width="17.8365384615385" style="156" customWidth="1"/>
    <col min="15631" max="15631" width="6" style="156" customWidth="1"/>
    <col min="15632" max="15873" width="11.5" style="156"/>
    <col min="15874" max="15874" width="28" style="156" customWidth="1"/>
    <col min="15875" max="15875" width="10.1634615384615" style="156" customWidth="1"/>
    <col min="15876" max="15876" width="11.5" style="156"/>
    <col min="15877" max="15877" width="3.16346153846154" style="156" customWidth="1"/>
    <col min="15878" max="15878" width="4.5" style="156" customWidth="1"/>
    <col min="15879" max="15885" width="11.5" style="156"/>
    <col min="15886" max="15886" width="17.8365384615385" style="156" customWidth="1"/>
    <col min="15887" max="15887" width="6" style="156" customWidth="1"/>
    <col min="15888" max="16129" width="11.5" style="156"/>
    <col min="16130" max="16130" width="28" style="156" customWidth="1"/>
    <col min="16131" max="16131" width="10.1634615384615" style="156" customWidth="1"/>
    <col min="16132" max="16132" width="11.5" style="156"/>
    <col min="16133" max="16133" width="3.16346153846154" style="156" customWidth="1"/>
    <col min="16134" max="16134" width="4.5" style="156" customWidth="1"/>
    <col min="16135" max="16141" width="11.5" style="156"/>
    <col min="16142" max="16142" width="17.8365384615385" style="156" customWidth="1"/>
    <col min="16143" max="16143" width="6" style="156" customWidth="1"/>
    <col min="16144" max="16384" width="11.5" style="156"/>
  </cols>
  <sheetData>
    <row r="1" spans="2:2">
      <c r="B1" s="175"/>
    </row>
    <row r="2" ht="27.75" customHeight="1" spans="2:12">
      <c r="B2" s="291" t="s">
        <v>903</v>
      </c>
      <c r="C2" s="292"/>
      <c r="D2" s="292"/>
      <c r="E2" s="292"/>
      <c r="F2" s="292"/>
      <c r="G2" s="292"/>
      <c r="H2" s="292"/>
      <c r="I2" s="292"/>
      <c r="J2" s="292"/>
      <c r="K2" s="292"/>
      <c r="L2" s="298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213" t="s">
        <v>739</v>
      </c>
      <c r="D4" s="96"/>
      <c r="E4" s="95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241">
        <v>42703</v>
      </c>
      <c r="D5" s="96"/>
      <c r="E5" s="95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6" t="s">
        <v>741</v>
      </c>
      <c r="D6" s="96"/>
      <c r="E6" s="5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213" t="s">
        <v>904</v>
      </c>
      <c r="D7" s="96"/>
      <c r="E7" s="5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213" t="s">
        <v>11</v>
      </c>
      <c r="D8" s="96"/>
      <c r="E8" s="5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6" t="s">
        <v>13</v>
      </c>
      <c r="D9" s="96"/>
      <c r="E9" s="56"/>
      <c r="F9" s="56"/>
      <c r="G9" s="56"/>
      <c r="H9" s="56"/>
      <c r="I9" s="56"/>
      <c r="J9" s="56"/>
      <c r="K9" s="56"/>
      <c r="L9" s="114"/>
    </row>
    <row r="10" ht="15" spans="2:12">
      <c r="B10" s="60" t="s">
        <v>232</v>
      </c>
      <c r="C10" s="56" t="s">
        <v>905</v>
      </c>
      <c r="D10" s="96"/>
      <c r="E10" s="5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229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spans="2:12">
      <c r="B13" s="66" t="s">
        <v>233</v>
      </c>
      <c r="C13" s="64"/>
      <c r="D13" s="229" t="s">
        <v>22</v>
      </c>
      <c r="E13" s="67"/>
      <c r="F13" s="67"/>
      <c r="G13" s="296"/>
      <c r="H13" s="2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70">
        <v>1</v>
      </c>
      <c r="E14" s="64"/>
      <c r="F14" s="64"/>
      <c r="G14" s="64"/>
      <c r="H14" s="78">
        <v>1</v>
      </c>
      <c r="I14" s="57" t="s">
        <v>248</v>
      </c>
      <c r="J14" s="64"/>
      <c r="K14" s="69">
        <v>10996.1</v>
      </c>
      <c r="L14" s="114" t="s">
        <v>28</v>
      </c>
    </row>
    <row r="15" spans="2:12">
      <c r="B15" s="66" t="s">
        <v>54</v>
      </c>
      <c r="C15" s="64" t="s">
        <v>55</v>
      </c>
      <c r="D15" s="69">
        <v>1527</v>
      </c>
      <c r="E15" s="69"/>
      <c r="F15" s="69"/>
      <c r="G15" s="69"/>
      <c r="H15" s="98">
        <f>D15</f>
        <v>1527</v>
      </c>
      <c r="I15" s="57" t="s">
        <v>249</v>
      </c>
      <c r="J15" s="64"/>
      <c r="K15" s="75">
        <v>30.1265194572453</v>
      </c>
      <c r="L15" s="114" t="s">
        <v>56</v>
      </c>
    </row>
    <row r="16" spans="2:12">
      <c r="B16" s="66" t="s">
        <v>234</v>
      </c>
      <c r="C16" s="64" t="s">
        <v>55</v>
      </c>
      <c r="D16" s="69">
        <v>1349</v>
      </c>
      <c r="E16" s="69"/>
      <c r="F16" s="69"/>
      <c r="G16" s="69"/>
      <c r="H16" s="98">
        <f>D16</f>
        <v>1349</v>
      </c>
      <c r="I16" s="56" t="s">
        <v>906</v>
      </c>
      <c r="J16" s="56"/>
      <c r="K16" s="299">
        <v>99.3534071170688</v>
      </c>
      <c r="L16" s="118" t="s">
        <v>59</v>
      </c>
    </row>
    <row r="17" spans="2:14">
      <c r="B17" s="57" t="s">
        <v>61</v>
      </c>
      <c r="C17" s="56" t="s">
        <v>62</v>
      </c>
      <c r="D17" s="70" t="s">
        <v>63</v>
      </c>
      <c r="E17" s="70"/>
      <c r="F17" s="70"/>
      <c r="G17" s="70"/>
      <c r="H17" s="98" t="str">
        <f>D17</f>
        <v>standing</v>
      </c>
      <c r="I17" s="56" t="s">
        <v>155</v>
      </c>
      <c r="J17" s="56"/>
      <c r="K17" s="300">
        <v>0.646592882931221</v>
      </c>
      <c r="L17" s="118" t="s">
        <v>59</v>
      </c>
      <c r="N17" s="156" t="s">
        <v>77</v>
      </c>
    </row>
    <row r="18" spans="2:12">
      <c r="B18" s="57" t="s">
        <v>66</v>
      </c>
      <c r="C18" s="56" t="s">
        <v>55</v>
      </c>
      <c r="D18" s="78">
        <v>728</v>
      </c>
      <c r="E18" s="71"/>
      <c r="F18" s="71"/>
      <c r="G18" s="71"/>
      <c r="H18" s="98">
        <f>D18</f>
        <v>728</v>
      </c>
      <c r="I18" s="56"/>
      <c r="J18" s="56"/>
      <c r="K18" s="300"/>
      <c r="L18" s="118"/>
    </row>
    <row r="19" spans="2:12">
      <c r="B19" s="57"/>
      <c r="C19" s="56"/>
      <c r="D19" s="70"/>
      <c r="E19" s="70"/>
      <c r="F19" s="70"/>
      <c r="G19" s="70"/>
      <c r="H19" s="100"/>
      <c r="I19" s="56" t="s">
        <v>907</v>
      </c>
      <c r="J19" s="56"/>
      <c r="K19" s="300"/>
      <c r="L19" s="118"/>
    </row>
    <row r="20" ht="17.6" spans="2:12">
      <c r="B20" s="72" t="s">
        <v>69</v>
      </c>
      <c r="C20" s="73"/>
      <c r="D20" s="74"/>
      <c r="E20" s="74"/>
      <c r="F20" s="74"/>
      <c r="G20" s="74"/>
      <c r="H20" s="101"/>
      <c r="I20" s="56"/>
      <c r="J20" s="56"/>
      <c r="K20" s="300"/>
      <c r="L20" s="118"/>
    </row>
    <row r="21" spans="2:12">
      <c r="B21" s="66" t="s">
        <v>71</v>
      </c>
      <c r="C21" s="64" t="s">
        <v>59</v>
      </c>
      <c r="D21" s="75">
        <v>4.2612457869338</v>
      </c>
      <c r="E21" s="64"/>
      <c r="F21" s="78"/>
      <c r="G21" s="78"/>
      <c r="H21" s="102"/>
      <c r="I21" s="125" t="s">
        <v>76</v>
      </c>
      <c r="J21" s="56"/>
      <c r="K21" s="301"/>
      <c r="L21" s="118"/>
    </row>
    <row r="22" spans="2:12">
      <c r="B22" s="66" t="s">
        <v>73</v>
      </c>
      <c r="C22" s="64" t="s">
        <v>59</v>
      </c>
      <c r="D22" s="75">
        <v>68.9808788311759</v>
      </c>
      <c r="E22" s="64"/>
      <c r="F22" s="78"/>
      <c r="G22" s="78" t="s">
        <v>77</v>
      </c>
      <c r="H22" s="78"/>
      <c r="I22" s="127" t="s">
        <v>80</v>
      </c>
      <c r="J22" s="56"/>
      <c r="K22" s="299">
        <v>6.84385059241314</v>
      </c>
      <c r="L22" s="118" t="s">
        <v>59</v>
      </c>
    </row>
    <row r="23" ht="18" spans="2:12">
      <c r="B23" s="66" t="s">
        <v>74</v>
      </c>
      <c r="C23" s="76" t="s">
        <v>75</v>
      </c>
      <c r="D23" s="75"/>
      <c r="E23" s="64"/>
      <c r="F23" s="78"/>
      <c r="G23" s="78"/>
      <c r="H23" s="103" t="s">
        <v>338</v>
      </c>
      <c r="I23" s="128" t="s">
        <v>83</v>
      </c>
      <c r="J23" s="56"/>
      <c r="K23" s="299">
        <v>80.0156427632281</v>
      </c>
      <c r="L23" s="118" t="s">
        <v>59</v>
      </c>
    </row>
    <row r="24" ht="18" spans="2:12">
      <c r="B24" s="66" t="s">
        <v>78</v>
      </c>
      <c r="C24" s="56" t="s">
        <v>79</v>
      </c>
      <c r="D24" s="75"/>
      <c r="E24" s="64"/>
      <c r="F24" s="78" t="s">
        <v>77</v>
      </c>
      <c r="G24" s="78"/>
      <c r="H24" s="104" t="s">
        <v>908</v>
      </c>
      <c r="I24" s="57" t="s">
        <v>86</v>
      </c>
      <c r="J24" s="56"/>
      <c r="K24" s="299">
        <v>40.0078213816141</v>
      </c>
      <c r="L24" s="118" t="s">
        <v>59</v>
      </c>
    </row>
    <row r="25" ht="18" spans="2:12">
      <c r="B25" s="57" t="s">
        <v>81</v>
      </c>
      <c r="C25" s="56" t="s">
        <v>59</v>
      </c>
      <c r="D25" s="78"/>
      <c r="E25" s="78"/>
      <c r="F25" s="78"/>
      <c r="G25" s="78"/>
      <c r="H25" s="104" t="s">
        <v>909</v>
      </c>
      <c r="I25" s="129"/>
      <c r="J25" s="130"/>
      <c r="K25" s="130"/>
      <c r="L25" s="167"/>
    </row>
    <row r="26" ht="18" spans="2:12">
      <c r="B26" s="57" t="s">
        <v>84</v>
      </c>
      <c r="C26" s="56" t="s">
        <v>59</v>
      </c>
      <c r="D26" s="78"/>
      <c r="E26" s="78"/>
      <c r="F26" s="78"/>
      <c r="G26" s="78"/>
      <c r="H26" s="105" t="s">
        <v>910</v>
      </c>
      <c r="I26" s="63" t="s">
        <v>93</v>
      </c>
      <c r="J26" s="133"/>
      <c r="K26" s="64"/>
      <c r="L26" s="114"/>
    </row>
    <row r="27" ht="18" spans="2:12">
      <c r="B27" s="66" t="s">
        <v>854</v>
      </c>
      <c r="C27" s="56" t="s">
        <v>88</v>
      </c>
      <c r="D27" s="80"/>
      <c r="E27" s="78"/>
      <c r="F27" s="78"/>
      <c r="G27" s="78"/>
      <c r="H27" s="103" t="s">
        <v>911</v>
      </c>
      <c r="I27" s="66" t="s">
        <v>26</v>
      </c>
      <c r="J27" s="64"/>
      <c r="K27" s="64">
        <v>1</v>
      </c>
      <c r="L27" s="114"/>
    </row>
    <row r="28" ht="18" spans="2:12">
      <c r="B28" s="66" t="s">
        <v>90</v>
      </c>
      <c r="C28" s="56" t="s">
        <v>91</v>
      </c>
      <c r="D28" s="80"/>
      <c r="E28" s="78"/>
      <c r="F28" s="78" t="s">
        <v>77</v>
      </c>
      <c r="G28" s="78"/>
      <c r="H28" s="103" t="s">
        <v>271</v>
      </c>
      <c r="I28" s="66" t="s">
        <v>96</v>
      </c>
      <c r="J28" s="92"/>
      <c r="K28" s="92">
        <v>0</v>
      </c>
      <c r="L28" s="114" t="s">
        <v>55</v>
      </c>
    </row>
    <row r="29" spans="2:12">
      <c r="B29" s="66" t="s">
        <v>32</v>
      </c>
      <c r="C29" s="56" t="s">
        <v>62</v>
      </c>
      <c r="D29" s="75">
        <v>7.77181818181818</v>
      </c>
      <c r="E29" s="75"/>
      <c r="F29" s="78"/>
      <c r="G29" s="78"/>
      <c r="H29" s="78"/>
      <c r="I29" s="66" t="s">
        <v>912</v>
      </c>
      <c r="J29" s="92"/>
      <c r="K29" s="161" t="s">
        <v>13</v>
      </c>
      <c r="L29" s="114" t="s">
        <v>55</v>
      </c>
    </row>
    <row r="30" spans="2:12">
      <c r="B30" s="66" t="s">
        <v>94</v>
      </c>
      <c r="C30" s="56" t="s">
        <v>95</v>
      </c>
      <c r="D30" s="293">
        <v>41.2093785202253</v>
      </c>
      <c r="E30" s="293"/>
      <c r="F30" s="78"/>
      <c r="G30" s="78"/>
      <c r="H30" s="70"/>
      <c r="I30" s="66" t="s">
        <v>66</v>
      </c>
      <c r="J30" s="92"/>
      <c r="K30" s="92">
        <v>0</v>
      </c>
      <c r="L30" s="114" t="s">
        <v>55</v>
      </c>
    </row>
    <row r="31" ht="16" spans="2:16">
      <c r="B31" s="66" t="s">
        <v>855</v>
      </c>
      <c r="C31" s="64" t="s">
        <v>98</v>
      </c>
      <c r="D31" s="75">
        <v>1.372</v>
      </c>
      <c r="E31" s="75"/>
      <c r="F31" s="78"/>
      <c r="G31" s="78"/>
      <c r="H31" s="78"/>
      <c r="I31" s="57" t="s">
        <v>103</v>
      </c>
      <c r="J31" s="64"/>
      <c r="K31" s="302" t="s">
        <v>117</v>
      </c>
      <c r="L31" s="114" t="s">
        <v>59</v>
      </c>
      <c r="N31" s="156" t="s">
        <v>913</v>
      </c>
      <c r="O31" s="156">
        <v>99</v>
      </c>
      <c r="P31" s="156" t="s">
        <v>914</v>
      </c>
    </row>
    <row r="32" ht="16" spans="2:16">
      <c r="B32" s="66" t="s">
        <v>856</v>
      </c>
      <c r="C32" s="64" t="s">
        <v>98</v>
      </c>
      <c r="D32" s="75">
        <v>2.80816452033412</v>
      </c>
      <c r="E32" s="75"/>
      <c r="F32" s="78"/>
      <c r="G32" s="78"/>
      <c r="H32" s="78"/>
      <c r="I32" s="66" t="s">
        <v>105</v>
      </c>
      <c r="J32" s="64"/>
      <c r="K32" s="168">
        <v>4.24</v>
      </c>
      <c r="L32" s="114" t="s">
        <v>59</v>
      </c>
      <c r="N32" s="156" t="s">
        <v>869</v>
      </c>
      <c r="O32" s="156">
        <v>57</v>
      </c>
      <c r="P32" s="156" t="s">
        <v>915</v>
      </c>
    </row>
    <row r="33" spans="2:16">
      <c r="B33" s="66" t="s">
        <v>101</v>
      </c>
      <c r="C33" s="64" t="s">
        <v>102</v>
      </c>
      <c r="D33" s="77">
        <v>57</v>
      </c>
      <c r="E33" s="78"/>
      <c r="F33" s="78"/>
      <c r="G33" s="78"/>
      <c r="H33" s="78" t="s">
        <v>77</v>
      </c>
      <c r="I33" s="66" t="s">
        <v>106</v>
      </c>
      <c r="J33" s="64"/>
      <c r="K33" s="168">
        <v>69</v>
      </c>
      <c r="L33" s="114" t="s">
        <v>59</v>
      </c>
      <c r="N33" s="156" t="s">
        <v>916</v>
      </c>
      <c r="O33" s="156">
        <v>57.12</v>
      </c>
      <c r="P33" s="156" t="s">
        <v>195</v>
      </c>
    </row>
    <row r="34" spans="2:12">
      <c r="B34" s="66" t="s">
        <v>104</v>
      </c>
      <c r="C34" s="64" t="s">
        <v>62</v>
      </c>
      <c r="D34" s="80">
        <v>0.0885004342603292</v>
      </c>
      <c r="E34" s="80"/>
      <c r="F34" s="78"/>
      <c r="G34" s="78"/>
      <c r="H34" s="78"/>
      <c r="I34" s="66"/>
      <c r="J34" s="64"/>
      <c r="K34" s="64"/>
      <c r="L34" s="114"/>
    </row>
    <row r="35" spans="2:12">
      <c r="B35" s="81"/>
      <c r="C35" s="64"/>
      <c r="D35" s="64"/>
      <c r="E35" s="80"/>
      <c r="F35" s="78"/>
      <c r="G35" s="78"/>
      <c r="H35" s="78"/>
      <c r="I35" s="129"/>
      <c r="J35" s="70"/>
      <c r="K35" s="70"/>
      <c r="L35" s="167"/>
    </row>
    <row r="36" ht="17.6" spans="2:12">
      <c r="B36" s="51" t="s">
        <v>107</v>
      </c>
      <c r="C36" s="158"/>
      <c r="D36" s="83"/>
      <c r="E36" s="83"/>
      <c r="F36" s="83"/>
      <c r="G36" s="83"/>
      <c r="H36" s="106"/>
      <c r="I36" s="139" t="s">
        <v>108</v>
      </c>
      <c r="J36" s="140"/>
      <c r="K36" s="140"/>
      <c r="L36" s="152"/>
    </row>
    <row r="37" spans="2:12">
      <c r="B37" s="84"/>
      <c r="C37" s="78"/>
      <c r="D37" s="78"/>
      <c r="E37" s="64"/>
      <c r="F37" s="78"/>
      <c r="G37" s="78"/>
      <c r="H37" s="102"/>
      <c r="I37" s="66"/>
      <c r="J37" s="64" t="s">
        <v>917</v>
      </c>
      <c r="K37" s="64"/>
      <c r="L37" s="114"/>
    </row>
    <row r="38" spans="2:12">
      <c r="B38" s="85"/>
      <c r="C38" s="64"/>
      <c r="D38" s="64"/>
      <c r="E38" s="64"/>
      <c r="F38" s="78"/>
      <c r="G38" s="78"/>
      <c r="H38" s="102"/>
      <c r="I38" s="125" t="s">
        <v>112</v>
      </c>
      <c r="J38" s="64"/>
      <c r="K38" s="64"/>
      <c r="L38" s="114"/>
    </row>
    <row r="39" ht="16" spans="2:12">
      <c r="B39" s="84"/>
      <c r="C39" s="78"/>
      <c r="D39" s="78"/>
      <c r="E39" s="64"/>
      <c r="F39" s="78"/>
      <c r="G39" s="78"/>
      <c r="H39" s="102"/>
      <c r="I39" s="66"/>
      <c r="J39" s="64" t="s">
        <v>113</v>
      </c>
      <c r="K39" s="172" t="s">
        <v>857</v>
      </c>
      <c r="L39" s="103">
        <v>51.4553676296821</v>
      </c>
    </row>
    <row r="40" ht="16" spans="2:12">
      <c r="B40" s="86"/>
      <c r="C40" s="77"/>
      <c r="D40" s="67" t="s">
        <v>115</v>
      </c>
      <c r="E40" s="67"/>
      <c r="F40" s="67"/>
      <c r="G40" s="67"/>
      <c r="H40" s="67"/>
      <c r="I40" s="66"/>
      <c r="J40" s="64" t="s">
        <v>113</v>
      </c>
      <c r="K40" s="78" t="s">
        <v>858</v>
      </c>
      <c r="L40" s="103">
        <v>43.8196458111781</v>
      </c>
    </row>
    <row r="41" ht="16" spans="2:12">
      <c r="B41" s="66" t="s">
        <v>118</v>
      </c>
      <c r="C41" s="64"/>
      <c r="D41" s="78" t="s">
        <v>119</v>
      </c>
      <c r="E41" s="78"/>
      <c r="F41" s="78"/>
      <c r="G41" s="78"/>
      <c r="H41" s="102"/>
      <c r="I41" s="66"/>
      <c r="J41" s="64" t="s">
        <v>113</v>
      </c>
      <c r="K41" s="78" t="s">
        <v>859</v>
      </c>
      <c r="L41" s="303" t="s">
        <v>117</v>
      </c>
    </row>
    <row r="42" ht="16" spans="2:12">
      <c r="B42" s="66" t="s">
        <v>121</v>
      </c>
      <c r="C42" s="64" t="s">
        <v>122</v>
      </c>
      <c r="D42" s="77">
        <v>75</v>
      </c>
      <c r="E42" s="77"/>
      <c r="F42" s="77"/>
      <c r="G42" s="78"/>
      <c r="H42" s="102"/>
      <c r="I42" s="66"/>
      <c r="J42" s="64" t="s">
        <v>123</v>
      </c>
      <c r="K42" s="172" t="s">
        <v>860</v>
      </c>
      <c r="L42" s="174">
        <v>109.403407144826</v>
      </c>
    </row>
    <row r="43" spans="2:12">
      <c r="B43" s="66" t="s">
        <v>125</v>
      </c>
      <c r="C43" s="64" t="s">
        <v>122</v>
      </c>
      <c r="D43" s="77">
        <v>86.8</v>
      </c>
      <c r="E43" s="77" t="s">
        <v>77</v>
      </c>
      <c r="F43" s="77"/>
      <c r="G43" s="78"/>
      <c r="H43" s="102"/>
      <c r="I43" s="148" t="s">
        <v>126</v>
      </c>
      <c r="J43" s="64"/>
      <c r="K43" s="64"/>
      <c r="L43" s="114"/>
    </row>
    <row r="44" spans="2:12">
      <c r="B44" s="66" t="s">
        <v>127</v>
      </c>
      <c r="C44" s="64" t="s">
        <v>59</v>
      </c>
      <c r="D44" s="78">
        <v>37.5</v>
      </c>
      <c r="E44" s="78"/>
      <c r="F44" s="78"/>
      <c r="G44" s="78"/>
      <c r="H44" s="102"/>
      <c r="I44" s="64"/>
      <c r="J44" s="64"/>
      <c r="K44" s="78" t="s">
        <v>128</v>
      </c>
      <c r="L44" s="102" t="s">
        <v>129</v>
      </c>
    </row>
    <row r="45" spans="2:12">
      <c r="B45" s="66" t="s">
        <v>130</v>
      </c>
      <c r="C45" s="64" t="s">
        <v>59</v>
      </c>
      <c r="D45" s="78">
        <v>43.4</v>
      </c>
      <c r="E45" s="78"/>
      <c r="F45" s="78"/>
      <c r="G45" s="78"/>
      <c r="H45" s="102"/>
      <c r="I45" s="66"/>
      <c r="J45" s="64" t="s">
        <v>131</v>
      </c>
      <c r="K45" s="77">
        <v>31.8278625980172</v>
      </c>
      <c r="L45" s="174">
        <v>16.3771437084799</v>
      </c>
    </row>
    <row r="46" spans="2:12">
      <c r="B46" s="57" t="s">
        <v>132</v>
      </c>
      <c r="C46" s="56" t="s">
        <v>62</v>
      </c>
      <c r="D46" s="70" t="s">
        <v>133</v>
      </c>
      <c r="E46" s="64"/>
      <c r="F46" s="78"/>
      <c r="G46" s="78"/>
      <c r="H46" s="102"/>
      <c r="I46" s="66"/>
      <c r="J46" s="64" t="s">
        <v>134</v>
      </c>
      <c r="K46" s="77">
        <v>581.208632817595</v>
      </c>
      <c r="L46" s="174">
        <v>299.063038711743</v>
      </c>
    </row>
    <row r="47" spans="2:12">
      <c r="B47" s="66" t="s">
        <v>135</v>
      </c>
      <c r="C47" s="64" t="s">
        <v>240</v>
      </c>
      <c r="D47" s="69">
        <v>8676</v>
      </c>
      <c r="E47" s="78"/>
      <c r="F47" s="78"/>
      <c r="G47" s="78" t="s">
        <v>77</v>
      </c>
      <c r="H47" s="102"/>
      <c r="I47" s="148" t="s">
        <v>137</v>
      </c>
      <c r="J47" s="64"/>
      <c r="K47" s="64"/>
      <c r="L47" s="114"/>
    </row>
    <row r="48" spans="2:12">
      <c r="B48" s="57" t="s">
        <v>138</v>
      </c>
      <c r="C48" s="64" t="s">
        <v>240</v>
      </c>
      <c r="D48" s="69">
        <v>8682.93333333333</v>
      </c>
      <c r="E48" s="78"/>
      <c r="F48" s="78"/>
      <c r="G48" s="69"/>
      <c r="H48" s="98"/>
      <c r="I48" s="66"/>
      <c r="J48" s="64" t="s">
        <v>139</v>
      </c>
      <c r="K48" s="69">
        <v>1784.16438356164</v>
      </c>
      <c r="L48" s="98"/>
    </row>
    <row r="49" spans="2:12">
      <c r="B49" s="57" t="s">
        <v>140</v>
      </c>
      <c r="C49" s="64" t="s">
        <v>59</v>
      </c>
      <c r="D49" s="77">
        <v>99.1202435312024</v>
      </c>
      <c r="E49" s="78"/>
      <c r="F49" s="78"/>
      <c r="G49" s="78"/>
      <c r="H49" s="102"/>
      <c r="I49" s="66"/>
      <c r="J49" s="64" t="s">
        <v>141</v>
      </c>
      <c r="K49" s="69">
        <v>59.2228153618101</v>
      </c>
      <c r="L49" s="114"/>
    </row>
    <row r="50" spans="2:12">
      <c r="B50" s="87"/>
      <c r="C50" s="64"/>
      <c r="D50" s="78"/>
      <c r="E50" s="78"/>
      <c r="F50" s="78"/>
      <c r="G50" s="78"/>
      <c r="H50" s="102"/>
      <c r="I50" s="65"/>
      <c r="J50" s="64"/>
      <c r="K50" s="78"/>
      <c r="L50" s="114"/>
    </row>
    <row r="51" spans="2:12">
      <c r="B51" s="88" t="s">
        <v>142</v>
      </c>
      <c r="C51" s="89"/>
      <c r="D51" s="89"/>
      <c r="E51" s="108"/>
      <c r="F51" s="99"/>
      <c r="G51" s="99"/>
      <c r="H51" s="109"/>
      <c r="I51" s="78"/>
      <c r="J51" s="78"/>
      <c r="K51" s="78"/>
      <c r="L51" s="114"/>
    </row>
    <row r="52" ht="17.6" spans="2:12">
      <c r="B52" s="90" t="s">
        <v>143</v>
      </c>
      <c r="C52" s="78"/>
      <c r="D52" s="64"/>
      <c r="E52" s="64"/>
      <c r="F52" s="64"/>
      <c r="G52" s="110" t="s">
        <v>144</v>
      </c>
      <c r="H52" s="64"/>
      <c r="I52" s="83"/>
      <c r="J52" s="140"/>
      <c r="K52" s="140"/>
      <c r="L52" s="152"/>
    </row>
    <row r="53" spans="2:12">
      <c r="B53" s="66"/>
      <c r="C53" s="78"/>
      <c r="D53" s="92"/>
      <c r="E53" s="92"/>
      <c r="F53" s="64"/>
      <c r="G53" s="64"/>
      <c r="H53" s="64"/>
      <c r="I53" s="78"/>
      <c r="J53" s="64"/>
      <c r="K53" s="64"/>
      <c r="L53" s="114"/>
    </row>
    <row r="54" spans="2:12">
      <c r="B54" s="66" t="s">
        <v>506</v>
      </c>
      <c r="C54" s="69"/>
      <c r="D54" s="294"/>
      <c r="E54" s="111"/>
      <c r="F54" s="64"/>
      <c r="G54" s="64" t="s">
        <v>752</v>
      </c>
      <c r="H54" s="64"/>
      <c r="I54" s="69"/>
      <c r="J54" s="294"/>
      <c r="K54" s="111"/>
      <c r="L54" s="114"/>
    </row>
    <row r="55" spans="2:12">
      <c r="B55" s="66"/>
      <c r="C55" s="69"/>
      <c r="D55" s="295"/>
      <c r="E55" s="111"/>
      <c r="F55" s="64"/>
      <c r="G55" s="64" t="s">
        <v>753</v>
      </c>
      <c r="H55" s="64"/>
      <c r="I55" s="69"/>
      <c r="J55" s="294"/>
      <c r="K55" s="111"/>
      <c r="L55" s="114"/>
    </row>
    <row r="56" spans="2:12">
      <c r="B56" s="81"/>
      <c r="C56" s="94"/>
      <c r="D56" s="94"/>
      <c r="E56" s="94"/>
      <c r="F56" s="94"/>
      <c r="G56" s="94"/>
      <c r="H56" s="94"/>
      <c r="I56" s="89"/>
      <c r="J56" s="304"/>
      <c r="K56" s="153"/>
      <c r="L56" s="115"/>
    </row>
    <row r="62" spans="3:3">
      <c r="C62" s="156" t="s">
        <v>77</v>
      </c>
    </row>
    <row r="68" spans="9:9">
      <c r="I68" s="156" t="s">
        <v>77</v>
      </c>
    </row>
  </sheetData>
  <mergeCells count="1">
    <mergeCell ref="B2:L2"/>
  </mergeCells>
  <pageMargins left="0.7" right="0.7" top="0.787401575" bottom="0.7874015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L71"/>
  <sheetViews>
    <sheetView zoomScale="85" zoomScaleNormal="85" workbookViewId="0">
      <selection activeCell="A1" sqref="A1"/>
    </sheetView>
  </sheetViews>
  <sheetFormatPr defaultColWidth="11.5" defaultRowHeight="16.8"/>
  <cols>
    <col min="5" max="5" width="14.8365384615385" customWidth="1"/>
    <col min="6" max="6" width="14.5" customWidth="1"/>
    <col min="261" max="261" width="14.8365384615385" customWidth="1"/>
    <col min="262" max="262" width="14.5" customWidth="1"/>
    <col min="517" max="517" width="14.8365384615385" customWidth="1"/>
    <col min="518" max="518" width="14.5" customWidth="1"/>
    <col min="773" max="773" width="14.8365384615385" customWidth="1"/>
    <col min="774" max="774" width="14.5" customWidth="1"/>
    <col min="1029" max="1029" width="14.8365384615385" customWidth="1"/>
    <col min="1030" max="1030" width="14.5" customWidth="1"/>
    <col min="1285" max="1285" width="14.8365384615385" customWidth="1"/>
    <col min="1286" max="1286" width="14.5" customWidth="1"/>
    <col min="1541" max="1541" width="14.8365384615385" customWidth="1"/>
    <col min="1542" max="1542" width="14.5" customWidth="1"/>
    <col min="1797" max="1797" width="14.8365384615385" customWidth="1"/>
    <col min="1798" max="1798" width="14.5" customWidth="1"/>
    <col min="2053" max="2053" width="14.8365384615385" customWidth="1"/>
    <col min="2054" max="2054" width="14.5" customWidth="1"/>
    <col min="2309" max="2309" width="14.8365384615385" customWidth="1"/>
    <col min="2310" max="2310" width="14.5" customWidth="1"/>
    <col min="2565" max="2565" width="14.8365384615385" customWidth="1"/>
    <col min="2566" max="2566" width="14.5" customWidth="1"/>
    <col min="2821" max="2821" width="14.8365384615385" customWidth="1"/>
    <col min="2822" max="2822" width="14.5" customWidth="1"/>
    <col min="3077" max="3077" width="14.8365384615385" customWidth="1"/>
    <col min="3078" max="3078" width="14.5" customWidth="1"/>
    <col min="3333" max="3333" width="14.8365384615385" customWidth="1"/>
    <col min="3334" max="3334" width="14.5" customWidth="1"/>
    <col min="3589" max="3589" width="14.8365384615385" customWidth="1"/>
    <col min="3590" max="3590" width="14.5" customWidth="1"/>
    <col min="3845" max="3845" width="14.8365384615385" customWidth="1"/>
    <col min="3846" max="3846" width="14.5" customWidth="1"/>
    <col min="4101" max="4101" width="14.8365384615385" customWidth="1"/>
    <col min="4102" max="4102" width="14.5" customWidth="1"/>
    <col min="4357" max="4357" width="14.8365384615385" customWidth="1"/>
    <col min="4358" max="4358" width="14.5" customWidth="1"/>
    <col min="4613" max="4613" width="14.8365384615385" customWidth="1"/>
    <col min="4614" max="4614" width="14.5" customWidth="1"/>
    <col min="4869" max="4869" width="14.8365384615385" customWidth="1"/>
    <col min="4870" max="4870" width="14.5" customWidth="1"/>
    <col min="5125" max="5125" width="14.8365384615385" customWidth="1"/>
    <col min="5126" max="5126" width="14.5" customWidth="1"/>
    <col min="5381" max="5381" width="14.8365384615385" customWidth="1"/>
    <col min="5382" max="5382" width="14.5" customWidth="1"/>
    <col min="5637" max="5637" width="14.8365384615385" customWidth="1"/>
    <col min="5638" max="5638" width="14.5" customWidth="1"/>
    <col min="5893" max="5893" width="14.8365384615385" customWidth="1"/>
    <col min="5894" max="5894" width="14.5" customWidth="1"/>
    <col min="6149" max="6149" width="14.8365384615385" customWidth="1"/>
    <col min="6150" max="6150" width="14.5" customWidth="1"/>
    <col min="6405" max="6405" width="14.8365384615385" customWidth="1"/>
    <col min="6406" max="6406" width="14.5" customWidth="1"/>
    <col min="6661" max="6661" width="14.8365384615385" customWidth="1"/>
    <col min="6662" max="6662" width="14.5" customWidth="1"/>
    <col min="6917" max="6917" width="14.8365384615385" customWidth="1"/>
    <col min="6918" max="6918" width="14.5" customWidth="1"/>
    <col min="7173" max="7173" width="14.8365384615385" customWidth="1"/>
    <col min="7174" max="7174" width="14.5" customWidth="1"/>
    <col min="7429" max="7429" width="14.8365384615385" customWidth="1"/>
    <col min="7430" max="7430" width="14.5" customWidth="1"/>
    <col min="7685" max="7685" width="14.8365384615385" customWidth="1"/>
    <col min="7686" max="7686" width="14.5" customWidth="1"/>
    <col min="7941" max="7941" width="14.8365384615385" customWidth="1"/>
    <col min="7942" max="7942" width="14.5" customWidth="1"/>
    <col min="8197" max="8197" width="14.8365384615385" customWidth="1"/>
    <col min="8198" max="8198" width="14.5" customWidth="1"/>
    <col min="8453" max="8453" width="14.8365384615385" customWidth="1"/>
    <col min="8454" max="8454" width="14.5" customWidth="1"/>
    <col min="8709" max="8709" width="14.8365384615385" customWidth="1"/>
    <col min="8710" max="8710" width="14.5" customWidth="1"/>
    <col min="8965" max="8965" width="14.8365384615385" customWidth="1"/>
    <col min="8966" max="8966" width="14.5" customWidth="1"/>
    <col min="9221" max="9221" width="14.8365384615385" customWidth="1"/>
    <col min="9222" max="9222" width="14.5" customWidth="1"/>
    <col min="9477" max="9477" width="14.8365384615385" customWidth="1"/>
    <col min="9478" max="9478" width="14.5" customWidth="1"/>
    <col min="9733" max="9733" width="14.8365384615385" customWidth="1"/>
    <col min="9734" max="9734" width="14.5" customWidth="1"/>
    <col min="9989" max="9989" width="14.8365384615385" customWidth="1"/>
    <col min="9990" max="9990" width="14.5" customWidth="1"/>
    <col min="10245" max="10245" width="14.8365384615385" customWidth="1"/>
    <col min="10246" max="10246" width="14.5" customWidth="1"/>
    <col min="10501" max="10501" width="14.8365384615385" customWidth="1"/>
    <col min="10502" max="10502" width="14.5" customWidth="1"/>
    <col min="10757" max="10757" width="14.8365384615385" customWidth="1"/>
    <col min="10758" max="10758" width="14.5" customWidth="1"/>
    <col min="11013" max="11013" width="14.8365384615385" customWidth="1"/>
    <col min="11014" max="11014" width="14.5" customWidth="1"/>
    <col min="11269" max="11269" width="14.8365384615385" customWidth="1"/>
    <col min="11270" max="11270" width="14.5" customWidth="1"/>
    <col min="11525" max="11525" width="14.8365384615385" customWidth="1"/>
    <col min="11526" max="11526" width="14.5" customWidth="1"/>
    <col min="11781" max="11781" width="14.8365384615385" customWidth="1"/>
    <col min="11782" max="11782" width="14.5" customWidth="1"/>
    <col min="12037" max="12037" width="14.8365384615385" customWidth="1"/>
    <col min="12038" max="12038" width="14.5" customWidth="1"/>
    <col min="12293" max="12293" width="14.8365384615385" customWidth="1"/>
    <col min="12294" max="12294" width="14.5" customWidth="1"/>
    <col min="12549" max="12549" width="14.8365384615385" customWidth="1"/>
    <col min="12550" max="12550" width="14.5" customWidth="1"/>
    <col min="12805" max="12805" width="14.8365384615385" customWidth="1"/>
    <col min="12806" max="12806" width="14.5" customWidth="1"/>
    <col min="13061" max="13061" width="14.8365384615385" customWidth="1"/>
    <col min="13062" max="13062" width="14.5" customWidth="1"/>
    <col min="13317" max="13317" width="14.8365384615385" customWidth="1"/>
    <col min="13318" max="13318" width="14.5" customWidth="1"/>
    <col min="13573" max="13573" width="14.8365384615385" customWidth="1"/>
    <col min="13574" max="13574" width="14.5" customWidth="1"/>
    <col min="13829" max="13829" width="14.8365384615385" customWidth="1"/>
    <col min="13830" max="13830" width="14.5" customWidth="1"/>
    <col min="14085" max="14085" width="14.8365384615385" customWidth="1"/>
    <col min="14086" max="14086" width="14.5" customWidth="1"/>
    <col min="14341" max="14341" width="14.8365384615385" customWidth="1"/>
    <col min="14342" max="14342" width="14.5" customWidth="1"/>
    <col min="14597" max="14597" width="14.8365384615385" customWidth="1"/>
    <col min="14598" max="14598" width="14.5" customWidth="1"/>
    <col min="14853" max="14853" width="14.8365384615385" customWidth="1"/>
    <col min="14854" max="14854" width="14.5" customWidth="1"/>
    <col min="15109" max="15109" width="14.8365384615385" customWidth="1"/>
    <col min="15110" max="15110" width="14.5" customWidth="1"/>
    <col min="15365" max="15365" width="14.8365384615385" customWidth="1"/>
    <col min="15366" max="15366" width="14.5" customWidth="1"/>
    <col min="15621" max="15621" width="14.8365384615385" customWidth="1"/>
    <col min="15622" max="15622" width="14.5" customWidth="1"/>
    <col min="15877" max="15877" width="14.8365384615385" customWidth="1"/>
    <col min="15878" max="15878" width="14.5" customWidth="1"/>
    <col min="16133" max="16133" width="14.8365384615385" customWidth="1"/>
    <col min="16134" max="16134" width="14.5" customWidth="1"/>
  </cols>
  <sheetData>
    <row r="1" spans="1:1">
      <c r="A1" s="243" t="s">
        <v>830</v>
      </c>
    </row>
    <row r="2" ht="34" spans="1:5">
      <c r="A2" t="s">
        <v>154</v>
      </c>
      <c r="B2" s="48" t="s">
        <v>155</v>
      </c>
      <c r="C2" s="244" t="s">
        <v>155</v>
      </c>
      <c r="D2" s="48" t="s">
        <v>661</v>
      </c>
      <c r="E2" t="s">
        <v>386</v>
      </c>
    </row>
    <row r="3" spans="1:5">
      <c r="A3" s="228"/>
      <c r="B3" s="228" t="s">
        <v>59</v>
      </c>
      <c r="C3" s="228" t="s">
        <v>59</v>
      </c>
      <c r="D3" s="228" t="s">
        <v>56</v>
      </c>
      <c r="E3" s="228"/>
    </row>
    <row r="4" spans="1:5">
      <c r="A4" s="245">
        <f>'[85]Tabellen für Auswertung'!A4</f>
        <v>42948</v>
      </c>
      <c r="B4" s="191">
        <v>98.6109638426466</v>
      </c>
      <c r="C4" s="191">
        <v>1.38903615735341</v>
      </c>
      <c r="D4" s="191">
        <v>30.4225806451613</v>
      </c>
      <c r="E4" s="203">
        <f t="shared" ref="E4:E16" si="0">SUM(B4:C4)</f>
        <v>100</v>
      </c>
    </row>
    <row r="5" spans="1:5">
      <c r="A5" s="245">
        <f>'[85]Tabellen für Auswertung'!A5</f>
        <v>42979</v>
      </c>
      <c r="B5" s="191">
        <v>99.0425883129746</v>
      </c>
      <c r="C5" s="191">
        <v>0.957411687025421</v>
      </c>
      <c r="D5" s="191">
        <v>30.29</v>
      </c>
      <c r="E5" s="203">
        <f t="shared" si="0"/>
        <v>100</v>
      </c>
    </row>
    <row r="6" spans="1:5">
      <c r="A6" s="245">
        <f>'[85]Tabellen für Auswertung'!A6</f>
        <v>43009</v>
      </c>
      <c r="B6" s="191">
        <v>99.2953235105701</v>
      </c>
      <c r="C6" s="191">
        <v>0.704676489429853</v>
      </c>
      <c r="D6" s="191">
        <v>30.2129032258065</v>
      </c>
      <c r="E6" s="203">
        <f t="shared" si="0"/>
        <v>100</v>
      </c>
    </row>
    <row r="7" spans="1:5">
      <c r="A7" s="245">
        <f>'[85]Tabellen für Auswertung'!A7</f>
        <v>43040</v>
      </c>
      <c r="B7" s="191">
        <v>99.3377483443709</v>
      </c>
      <c r="C7" s="191">
        <v>0.662251655629139</v>
      </c>
      <c r="D7" s="191">
        <v>30.2</v>
      </c>
      <c r="E7" s="203">
        <f t="shared" si="0"/>
        <v>100</v>
      </c>
    </row>
    <row r="8" spans="1:5">
      <c r="A8" s="245">
        <f>'[85]Tabellen für Auswertung'!A8</f>
        <v>43070</v>
      </c>
      <c r="B8" s="191">
        <v>99.422706863374</v>
      </c>
      <c r="C8" s="191">
        <v>0.577293136626042</v>
      </c>
      <c r="D8" s="191">
        <v>30.1741935483871</v>
      </c>
      <c r="E8" s="203">
        <f t="shared" si="0"/>
        <v>100</v>
      </c>
    </row>
    <row r="9" spans="1:5">
      <c r="A9" s="245">
        <f>'[85]Tabellen für Auswertung'!A9</f>
        <v>43101</v>
      </c>
      <c r="B9" s="191">
        <v>98.9256462078502</v>
      </c>
      <c r="C9" s="191">
        <v>1.07435379214977</v>
      </c>
      <c r="D9" s="191">
        <v>30.3258064516129</v>
      </c>
      <c r="E9" s="203">
        <f t="shared" si="0"/>
        <v>100</v>
      </c>
    </row>
    <row r="10" spans="1:6">
      <c r="A10" s="245">
        <f>'[85]Tabellen für Auswertung'!A10</f>
        <v>43132</v>
      </c>
      <c r="B10" s="191">
        <v>99.5260663507109</v>
      </c>
      <c r="C10" s="191">
        <v>0.473933649289099</v>
      </c>
      <c r="D10" s="191">
        <v>30.1428571428571</v>
      </c>
      <c r="E10" s="203">
        <f t="shared" si="0"/>
        <v>100</v>
      </c>
      <c r="F10" t="s">
        <v>77</v>
      </c>
    </row>
    <row r="11" spans="1:5">
      <c r="A11" s="245">
        <f>'[85]Tabellen für Auswertung'!A11</f>
        <v>43160</v>
      </c>
      <c r="B11" s="191">
        <v>99.4724115190152</v>
      </c>
      <c r="C11" s="191">
        <v>0.527588480984832</v>
      </c>
      <c r="D11" s="191">
        <v>29.3483870967742</v>
      </c>
      <c r="E11" s="203">
        <f t="shared" si="0"/>
        <v>100</v>
      </c>
    </row>
    <row r="12" spans="1:5">
      <c r="A12" s="245">
        <f>'[85]Tabellen für Auswertung'!A12</f>
        <v>43191</v>
      </c>
      <c r="B12" s="191">
        <v>100</v>
      </c>
      <c r="C12" s="191">
        <v>0</v>
      </c>
      <c r="D12" s="191">
        <v>30</v>
      </c>
      <c r="E12" s="203">
        <f t="shared" si="0"/>
        <v>100</v>
      </c>
    </row>
    <row r="13" spans="1:5">
      <c r="A13" s="245">
        <f>'[85]Tabellen für Auswertung'!A13</f>
        <v>43221</v>
      </c>
      <c r="B13" s="191">
        <v>100</v>
      </c>
      <c r="C13" s="191">
        <v>0</v>
      </c>
      <c r="D13" s="191">
        <v>30</v>
      </c>
      <c r="E13" s="203">
        <f t="shared" si="0"/>
        <v>100</v>
      </c>
    </row>
    <row r="14" spans="1:5">
      <c r="A14" s="245">
        <f>'[85]Tabellen für Auswertung'!A14</f>
        <v>43252</v>
      </c>
      <c r="B14" s="191">
        <v>99.8446860439317</v>
      </c>
      <c r="C14" s="191">
        <v>0.155313956068338</v>
      </c>
      <c r="D14" s="191">
        <v>30.0466666666667</v>
      </c>
      <c r="E14" s="203">
        <f t="shared" si="0"/>
        <v>100</v>
      </c>
    </row>
    <row r="15" spans="1:5">
      <c r="A15" s="246">
        <f>'[85]Tabellen für Auswertung'!A15</f>
        <v>43282</v>
      </c>
      <c r="B15" s="247">
        <v>98.8310308182784</v>
      </c>
      <c r="C15" s="247">
        <v>1.16896918172157</v>
      </c>
      <c r="D15" s="247">
        <v>30.3548387096774</v>
      </c>
      <c r="E15" s="259">
        <f t="shared" si="0"/>
        <v>100</v>
      </c>
    </row>
    <row r="16" ht="34" spans="1:5">
      <c r="A16" s="48" t="s">
        <v>831</v>
      </c>
      <c r="B16" s="203">
        <f>AVERAGE(B4:B15)</f>
        <v>99.3590976511435</v>
      </c>
      <c r="C16" s="203">
        <f>AVERAGE(C4:C15)</f>
        <v>0.640902348856457</v>
      </c>
      <c r="D16" s="203">
        <f>AVERAGE(D4:D15)</f>
        <v>30.1265194572453</v>
      </c>
      <c r="E16" s="203">
        <f t="shared" si="0"/>
        <v>100</v>
      </c>
    </row>
    <row r="23" spans="4:5">
      <c r="D23" t="s">
        <v>104</v>
      </c>
      <c r="E23" t="s">
        <v>22</v>
      </c>
    </row>
    <row r="24" ht="34" spans="4:6">
      <c r="D24" s="228"/>
      <c r="E24" s="260" t="s">
        <v>475</v>
      </c>
      <c r="F24" s="260"/>
    </row>
    <row r="25" spans="4:6">
      <c r="D25" s="245">
        <f t="shared" ref="D25:D36" si="1">A4</f>
        <v>42948</v>
      </c>
      <c r="E25" s="261">
        <v>0.0726416232055501</v>
      </c>
      <c r="F25" s="261"/>
    </row>
    <row r="26" spans="4:6">
      <c r="D26" s="245">
        <f t="shared" si="1"/>
        <v>42979</v>
      </c>
      <c r="E26" s="261">
        <v>0.0677421860900802</v>
      </c>
      <c r="F26" s="261"/>
    </row>
    <row r="27" spans="4:6">
      <c r="D27" s="245">
        <f t="shared" si="1"/>
        <v>43009</v>
      </c>
      <c r="E27" s="261">
        <v>0.0861501524036472</v>
      </c>
      <c r="F27" s="261"/>
    </row>
    <row r="28" spans="4:6">
      <c r="D28" s="245">
        <f t="shared" si="1"/>
        <v>43040</v>
      </c>
      <c r="E28" s="261">
        <v>0.0914795804507924</v>
      </c>
      <c r="F28" s="261"/>
    </row>
    <row r="29" spans="4:6">
      <c r="D29" s="245">
        <f t="shared" si="1"/>
        <v>43070</v>
      </c>
      <c r="E29" s="261">
        <v>0.102385193985608</v>
      </c>
      <c r="F29" s="261"/>
    </row>
    <row r="30" spans="4:6">
      <c r="D30" s="245">
        <f t="shared" si="1"/>
        <v>43101</v>
      </c>
      <c r="E30" s="261">
        <v>0.0925523758286768</v>
      </c>
      <c r="F30" s="261"/>
    </row>
    <row r="31" spans="4:6">
      <c r="D31" s="245">
        <f t="shared" si="1"/>
        <v>43132</v>
      </c>
      <c r="E31" s="261">
        <v>0.0884136543200976</v>
      </c>
      <c r="F31" s="261"/>
    </row>
    <row r="32" spans="4:6">
      <c r="D32" s="245">
        <f t="shared" si="1"/>
        <v>43160</v>
      </c>
      <c r="E32" s="261">
        <v>0.0828802775824331</v>
      </c>
      <c r="F32" s="261"/>
    </row>
    <row r="33" spans="4:6">
      <c r="D33" s="245">
        <f t="shared" si="1"/>
        <v>43191</v>
      </c>
      <c r="E33" s="261" t="s">
        <v>885</v>
      </c>
      <c r="F33" s="261"/>
    </row>
    <row r="34" spans="4:6">
      <c r="D34" s="245">
        <f t="shared" si="1"/>
        <v>43221</v>
      </c>
      <c r="E34" s="261">
        <v>0.0914817338131585</v>
      </c>
      <c r="F34" s="261"/>
    </row>
    <row r="35" spans="4:6">
      <c r="D35" s="245">
        <f t="shared" si="1"/>
        <v>43252</v>
      </c>
      <c r="E35" s="261">
        <v>0.100068710266223</v>
      </c>
      <c r="F35" s="261"/>
    </row>
    <row r="36" spans="4:6">
      <c r="D36" s="245">
        <f t="shared" si="1"/>
        <v>43282</v>
      </c>
      <c r="E36" s="261">
        <v>0.0977092889173547</v>
      </c>
      <c r="F36" s="262"/>
    </row>
    <row r="37" ht="17.55" spans="4:6">
      <c r="D37" s="248"/>
      <c r="E37" s="248">
        <f>AVERAGE(E25:E36)</f>
        <v>0.0885004342603292</v>
      </c>
      <c r="F37" s="248"/>
    </row>
    <row r="38" ht="17.55"/>
    <row r="41" s="242" customFormat="1" ht="72" spans="1:12">
      <c r="A41" s="249"/>
      <c r="B41" s="249" t="s">
        <v>393</v>
      </c>
      <c r="C41" s="249" t="s">
        <v>394</v>
      </c>
      <c r="D41" s="249" t="s">
        <v>395</v>
      </c>
      <c r="E41" s="249" t="s">
        <v>396</v>
      </c>
      <c r="F41" s="249" t="s">
        <v>183</v>
      </c>
      <c r="G41" s="249" t="s">
        <v>184</v>
      </c>
      <c r="H41" s="249" t="s">
        <v>397</v>
      </c>
      <c r="I41" s="249" t="s">
        <v>398</v>
      </c>
      <c r="J41" s="249" t="s">
        <v>832</v>
      </c>
      <c r="K41" s="249" t="s">
        <v>400</v>
      </c>
      <c r="L41" s="249" t="s">
        <v>401</v>
      </c>
    </row>
    <row r="42" s="242" customFormat="1" ht="15.2" spans="1:12">
      <c r="A42" s="250" t="s">
        <v>154</v>
      </c>
      <c r="B42" s="250" t="s">
        <v>185</v>
      </c>
      <c r="C42" s="250" t="s">
        <v>185</v>
      </c>
      <c r="D42" s="250" t="s">
        <v>185</v>
      </c>
      <c r="E42" s="250" t="s">
        <v>185</v>
      </c>
      <c r="F42" s="250" t="s">
        <v>59</v>
      </c>
      <c r="G42" s="250" t="s">
        <v>402</v>
      </c>
      <c r="H42" s="250" t="s">
        <v>185</v>
      </c>
      <c r="I42" s="250" t="s">
        <v>403</v>
      </c>
      <c r="J42" s="250" t="s">
        <v>404</v>
      </c>
      <c r="K42" s="250" t="s">
        <v>122</v>
      </c>
      <c r="L42" s="250" t="s">
        <v>122</v>
      </c>
    </row>
    <row r="43" ht="16.5" customHeight="1" spans="1:12">
      <c r="A43" s="245">
        <f t="shared" ref="A43:A54" si="2">A4</f>
        <v>42948</v>
      </c>
      <c r="B43" s="223">
        <v>56190</v>
      </c>
      <c r="C43" s="223">
        <v>64880.72</v>
      </c>
      <c r="D43" s="223">
        <v>0</v>
      </c>
      <c r="E43" s="263" t="s">
        <v>457</v>
      </c>
      <c r="F43" s="264">
        <v>100.698924731183</v>
      </c>
      <c r="G43" s="264">
        <v>0</v>
      </c>
      <c r="H43" s="263" t="s">
        <v>457</v>
      </c>
      <c r="I43">
        <v>31</v>
      </c>
      <c r="J43">
        <v>744</v>
      </c>
      <c r="K43" s="199">
        <v>75</v>
      </c>
      <c r="L43" s="199">
        <v>86.6</v>
      </c>
    </row>
    <row r="44" spans="1:12">
      <c r="A44" s="245">
        <f t="shared" si="2"/>
        <v>42979</v>
      </c>
      <c r="B44" s="251">
        <v>54680</v>
      </c>
      <c r="C44" s="251">
        <v>63137.1733333333</v>
      </c>
      <c r="D44" s="251">
        <v>0</v>
      </c>
      <c r="E44" s="265"/>
      <c r="F44" s="264">
        <v>101.259259259259</v>
      </c>
      <c r="G44" s="264">
        <v>0</v>
      </c>
      <c r="H44" s="265"/>
      <c r="I44">
        <v>30</v>
      </c>
      <c r="J44">
        <v>720</v>
      </c>
      <c r="K44" s="199">
        <v>75</v>
      </c>
      <c r="L44" s="199">
        <v>86.6</v>
      </c>
    </row>
    <row r="45" spans="1:12">
      <c r="A45" s="245">
        <f t="shared" si="2"/>
        <v>43009</v>
      </c>
      <c r="B45" s="251">
        <v>56020</v>
      </c>
      <c r="C45" s="251">
        <v>64684.4266666667</v>
      </c>
      <c r="D45" s="251">
        <v>0</v>
      </c>
      <c r="E45" s="265"/>
      <c r="F45" s="264">
        <v>100.394265232975</v>
      </c>
      <c r="G45" s="264">
        <v>0</v>
      </c>
      <c r="H45" s="265"/>
      <c r="I45">
        <v>31</v>
      </c>
      <c r="J45">
        <v>744</v>
      </c>
      <c r="K45" s="199">
        <v>75</v>
      </c>
      <c r="L45" s="199">
        <v>86.6</v>
      </c>
    </row>
    <row r="46" spans="1:12">
      <c r="A46" s="245">
        <f t="shared" si="2"/>
        <v>43040</v>
      </c>
      <c r="B46" s="251">
        <v>53850</v>
      </c>
      <c r="C46" s="251">
        <v>62178.8</v>
      </c>
      <c r="D46" s="251">
        <v>0</v>
      </c>
      <c r="E46" s="265"/>
      <c r="F46" s="264">
        <v>99.7222222222222</v>
      </c>
      <c r="G46" s="264">
        <v>0</v>
      </c>
      <c r="H46" s="265"/>
      <c r="I46">
        <v>30</v>
      </c>
      <c r="J46">
        <v>720</v>
      </c>
      <c r="K46" s="199">
        <v>75</v>
      </c>
      <c r="L46" s="199">
        <v>86.6</v>
      </c>
    </row>
    <row r="47" spans="1:12">
      <c r="A47" s="245">
        <f t="shared" si="2"/>
        <v>43070</v>
      </c>
      <c r="B47" s="251">
        <v>54920</v>
      </c>
      <c r="C47" s="251">
        <v>63414.2933333333</v>
      </c>
      <c r="D47" s="251">
        <v>0</v>
      </c>
      <c r="E47" s="265"/>
      <c r="F47" s="264">
        <v>98.4229390681004</v>
      </c>
      <c r="G47" s="264">
        <v>0</v>
      </c>
      <c r="H47" s="265"/>
      <c r="I47">
        <v>31</v>
      </c>
      <c r="J47">
        <v>744</v>
      </c>
      <c r="K47" s="199">
        <v>75</v>
      </c>
      <c r="L47" s="199">
        <v>86.6</v>
      </c>
    </row>
    <row r="48" spans="1:12">
      <c r="A48" s="245">
        <f t="shared" si="2"/>
        <v>43101</v>
      </c>
      <c r="B48" s="251">
        <v>55870</v>
      </c>
      <c r="C48" s="251">
        <v>64511.2266666667</v>
      </c>
      <c r="D48" s="251">
        <v>0</v>
      </c>
      <c r="E48" s="265"/>
      <c r="F48" s="264">
        <v>100.125448028674</v>
      </c>
      <c r="G48" s="264">
        <v>0</v>
      </c>
      <c r="H48" s="265"/>
      <c r="I48">
        <v>31</v>
      </c>
      <c r="J48">
        <v>744</v>
      </c>
      <c r="K48" s="199">
        <v>75</v>
      </c>
      <c r="L48" s="199">
        <v>86.6</v>
      </c>
    </row>
    <row r="49" spans="1:12">
      <c r="A49" s="245">
        <f t="shared" si="2"/>
        <v>43132</v>
      </c>
      <c r="B49" s="251">
        <v>50630</v>
      </c>
      <c r="C49" s="251">
        <v>58460.7733333333</v>
      </c>
      <c r="D49" s="251">
        <v>0</v>
      </c>
      <c r="E49" s="265"/>
      <c r="F49" s="264">
        <v>100.456349206349</v>
      </c>
      <c r="G49" s="264">
        <v>0</v>
      </c>
      <c r="H49" s="265"/>
      <c r="I49">
        <v>28</v>
      </c>
      <c r="J49">
        <v>672</v>
      </c>
      <c r="K49" s="199">
        <v>75</v>
      </c>
      <c r="L49" s="199">
        <v>86.6</v>
      </c>
    </row>
    <row r="50" spans="1:12">
      <c r="A50" s="245">
        <f t="shared" si="2"/>
        <v>43160</v>
      </c>
      <c r="B50" s="251">
        <v>55720</v>
      </c>
      <c r="C50" s="251">
        <v>64338.0266666667</v>
      </c>
      <c r="D50" s="251">
        <v>0</v>
      </c>
      <c r="E50" s="265"/>
      <c r="F50" s="264">
        <v>99.8566308243728</v>
      </c>
      <c r="G50" s="264">
        <v>0</v>
      </c>
      <c r="H50" s="265"/>
      <c r="I50">
        <v>31</v>
      </c>
      <c r="J50">
        <v>744</v>
      </c>
      <c r="K50" s="199">
        <v>75</v>
      </c>
      <c r="L50" s="199">
        <v>86.6</v>
      </c>
    </row>
    <row r="51" spans="1:12">
      <c r="A51" s="245">
        <f t="shared" si="2"/>
        <v>43191</v>
      </c>
      <c r="B51" s="251">
        <v>53900</v>
      </c>
      <c r="C51" s="251">
        <v>62236.5333333333</v>
      </c>
      <c r="D51" s="251">
        <v>0</v>
      </c>
      <c r="E51" s="265"/>
      <c r="F51" s="264">
        <v>99.8148148148148</v>
      </c>
      <c r="G51" s="264">
        <v>0</v>
      </c>
      <c r="H51" s="265"/>
      <c r="I51">
        <v>30</v>
      </c>
      <c r="J51">
        <v>720</v>
      </c>
      <c r="K51" s="199">
        <v>75</v>
      </c>
      <c r="L51" s="199">
        <v>86.6</v>
      </c>
    </row>
    <row r="52" spans="1:12">
      <c r="A52" s="245">
        <f t="shared" si="2"/>
        <v>43221</v>
      </c>
      <c r="B52" s="251">
        <v>55540</v>
      </c>
      <c r="C52" s="251">
        <v>64130.1866666667</v>
      </c>
      <c r="D52" s="251">
        <v>0</v>
      </c>
      <c r="E52" s="265"/>
      <c r="F52" s="264">
        <v>99.5340501792115</v>
      </c>
      <c r="G52" s="264">
        <v>0</v>
      </c>
      <c r="H52" s="265"/>
      <c r="I52">
        <v>31</v>
      </c>
      <c r="J52">
        <v>744</v>
      </c>
      <c r="K52" s="199">
        <v>75</v>
      </c>
      <c r="L52" s="199">
        <v>86.6</v>
      </c>
    </row>
    <row r="53" spans="1:12">
      <c r="A53" s="245">
        <f t="shared" si="2"/>
        <v>43252</v>
      </c>
      <c r="B53" s="251">
        <v>53480</v>
      </c>
      <c r="C53" s="251">
        <v>61751.5733333333</v>
      </c>
      <c r="D53" s="251">
        <v>0</v>
      </c>
      <c r="E53" s="265"/>
      <c r="F53" s="264">
        <v>99.037037037037</v>
      </c>
      <c r="G53" s="264">
        <v>0</v>
      </c>
      <c r="H53" s="265"/>
      <c r="I53">
        <v>30</v>
      </c>
      <c r="J53">
        <v>720</v>
      </c>
      <c r="K53" s="199">
        <v>75</v>
      </c>
      <c r="L53" s="199">
        <v>86.6</v>
      </c>
    </row>
    <row r="54" spans="1:12">
      <c r="A54" s="246">
        <f t="shared" si="2"/>
        <v>43282</v>
      </c>
      <c r="B54" s="252">
        <v>50420</v>
      </c>
      <c r="C54" s="252">
        <v>58218.2933333333</v>
      </c>
      <c r="D54" s="252">
        <v>0</v>
      </c>
      <c r="E54" s="266"/>
      <c r="F54" s="267">
        <v>90.3584229390681</v>
      </c>
      <c r="G54" s="267">
        <v>0</v>
      </c>
      <c r="H54" s="266"/>
      <c r="I54" s="228">
        <v>31</v>
      </c>
      <c r="J54" s="228">
        <v>744</v>
      </c>
      <c r="K54" s="227">
        <v>75</v>
      </c>
      <c r="L54" s="227">
        <v>86.6</v>
      </c>
    </row>
    <row r="55" spans="1:12">
      <c r="A55" t="s">
        <v>530</v>
      </c>
      <c r="B55" s="251">
        <f>AVERAGE(B43:B54)</f>
        <v>54268.3333333333</v>
      </c>
      <c r="C55" s="251">
        <f>AVERAGE(C43:C54)</f>
        <v>62661.8355555556</v>
      </c>
      <c r="D55" s="251">
        <f>AVERAGE(D43:D54)</f>
        <v>0</v>
      </c>
      <c r="E55" s="251"/>
      <c r="F55" s="268">
        <f>AVERAGE(F43:F54)</f>
        <v>99.1400302952722</v>
      </c>
      <c r="G55" s="269">
        <f>AVERAGE(G43:G54)</f>
        <v>0</v>
      </c>
      <c r="H55" s="269"/>
      <c r="I55" s="268"/>
      <c r="J55" s="268"/>
      <c r="K55" s="264">
        <f>AVERAGE(K43:K54)</f>
        <v>75</v>
      </c>
      <c r="L55" s="273">
        <f>AVERAGE(L43:L54)</f>
        <v>86.6</v>
      </c>
    </row>
    <row r="56" spans="1:5">
      <c r="A56" t="s">
        <v>531</v>
      </c>
      <c r="B56" s="251">
        <f>SUM(B43:B54)</f>
        <v>651220</v>
      </c>
      <c r="C56" s="251">
        <f>SUM(C43:C54)</f>
        <v>751942.026666667</v>
      </c>
      <c r="D56" s="251">
        <f>SUM(D43:D54)</f>
        <v>0</v>
      </c>
      <c r="E56" s="251"/>
    </row>
    <row r="58" spans="6:6">
      <c r="F58" s="270"/>
    </row>
    <row r="62" ht="17.55"/>
    <row r="63" ht="17.55" spans="2:5">
      <c r="B63" s="253" t="s">
        <v>834</v>
      </c>
      <c r="C63" s="254"/>
      <c r="D63" s="255" t="s">
        <v>115</v>
      </c>
      <c r="E63" s="271"/>
    </row>
    <row r="64" spans="2:5">
      <c r="B64" s="256" t="s">
        <v>835</v>
      </c>
      <c r="C64" s="257"/>
      <c r="D64" s="258" t="s">
        <v>918</v>
      </c>
      <c r="E64" s="272"/>
    </row>
    <row r="65" spans="2:5">
      <c r="B65" s="274"/>
      <c r="C65" s="275"/>
      <c r="D65" s="276"/>
      <c r="E65" s="287"/>
    </row>
    <row r="66" spans="2:5">
      <c r="B66" s="277" t="s">
        <v>839</v>
      </c>
      <c r="C66" s="278"/>
      <c r="D66" s="279" t="s">
        <v>919</v>
      </c>
      <c r="E66" s="288"/>
    </row>
    <row r="67" spans="2:5">
      <c r="B67" s="277" t="s">
        <v>841</v>
      </c>
      <c r="C67" s="278"/>
      <c r="D67" s="279" t="s">
        <v>842</v>
      </c>
      <c r="E67" s="288"/>
    </row>
    <row r="68" spans="2:5">
      <c r="B68" s="280" t="s">
        <v>843</v>
      </c>
      <c r="C68" s="281" t="s">
        <v>920</v>
      </c>
      <c r="D68" s="282">
        <v>75</v>
      </c>
      <c r="E68" s="289"/>
    </row>
    <row r="69" spans="2:5">
      <c r="B69" s="280" t="s">
        <v>845</v>
      </c>
      <c r="C69" s="281" t="s">
        <v>846</v>
      </c>
      <c r="D69" s="283">
        <v>42703</v>
      </c>
      <c r="E69" s="289"/>
    </row>
    <row r="70" spans="2:5">
      <c r="B70" s="280" t="s">
        <v>847</v>
      </c>
      <c r="C70" s="281" t="s">
        <v>59</v>
      </c>
      <c r="D70" s="282">
        <v>37.5</v>
      </c>
      <c r="E70" s="289"/>
    </row>
    <row r="71" ht="17.55" spans="2:5">
      <c r="B71" s="284" t="s">
        <v>848</v>
      </c>
      <c r="C71" s="285" t="s">
        <v>59</v>
      </c>
      <c r="D71" s="286">
        <v>43.3</v>
      </c>
      <c r="E71" s="290"/>
    </row>
  </sheetData>
  <mergeCells count="14">
    <mergeCell ref="B63:C63"/>
    <mergeCell ref="D63:E63"/>
    <mergeCell ref="B66:C66"/>
    <mergeCell ref="D66:E66"/>
    <mergeCell ref="B67:C67"/>
    <mergeCell ref="D67:E67"/>
    <mergeCell ref="D68:E68"/>
    <mergeCell ref="D69:E69"/>
    <mergeCell ref="D70:E70"/>
    <mergeCell ref="D71:E71"/>
    <mergeCell ref="E43:E54"/>
    <mergeCell ref="H43:H54"/>
    <mergeCell ref="B64:C65"/>
    <mergeCell ref="D64:E65"/>
  </mergeCells>
  <pageMargins left="0.7" right="0.7" top="0.787401575" bottom="0.787401575" header="0.3" footer="0.3"/>
  <headerFooter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N82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903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75</v>
      </c>
      <c r="G3" s="21"/>
      <c r="H3" s="23" t="s">
        <v>187</v>
      </c>
      <c r="I3" s="5" t="s">
        <v>188</v>
      </c>
      <c r="J3" s="35">
        <v>610250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v>71</v>
      </c>
      <c r="G4" s="184"/>
      <c r="H4" s="25" t="s">
        <v>187</v>
      </c>
      <c r="I4" s="7" t="s">
        <v>191</v>
      </c>
      <c r="J4" s="37">
        <v>588000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221"/>
      <c r="G5" s="221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100</v>
      </c>
      <c r="H6" s="27" t="s">
        <v>195</v>
      </c>
      <c r="I6" s="1"/>
      <c r="J6" s="40">
        <v>140723.65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4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140723.65</v>
      </c>
      <c r="K9" s="43" t="s">
        <v>196</v>
      </c>
      <c r="L9" s="12"/>
      <c r="N9" t="s">
        <v>77</v>
      </c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4">
      <c r="A11" s="1"/>
      <c r="B11" s="11"/>
      <c r="C11" s="1" t="s">
        <v>201</v>
      </c>
      <c r="D11" s="1"/>
      <c r="E11" s="1"/>
      <c r="F11" s="1"/>
      <c r="G11" s="26">
        <v>0</v>
      </c>
      <c r="H11" s="27" t="s">
        <v>195</v>
      </c>
      <c r="I11" s="1"/>
      <c r="J11" s="196">
        <v>0</v>
      </c>
      <c r="K11" s="41" t="s">
        <v>196</v>
      </c>
      <c r="L11" s="1"/>
      <c r="N11" t="s">
        <v>77</v>
      </c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96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26.3619749600781</v>
      </c>
      <c r="H16" s="27" t="s">
        <v>195</v>
      </c>
      <c r="I16" s="1"/>
      <c r="J16" s="40">
        <v>36000</v>
      </c>
      <c r="K16" s="41" t="s">
        <v>196</v>
      </c>
      <c r="L16" s="1"/>
    </row>
    <row r="17" ht="21.75" customHeight="1" spans="1:14">
      <c r="A17" s="1"/>
      <c r="B17" s="11"/>
      <c r="C17" s="1" t="s">
        <v>208</v>
      </c>
      <c r="D17" s="1"/>
      <c r="E17" s="1"/>
      <c r="F17" s="1"/>
      <c r="G17" s="26">
        <v>12.9173677304383</v>
      </c>
      <c r="H17" s="27" t="s">
        <v>195</v>
      </c>
      <c r="I17" s="1"/>
      <c r="J17" s="40">
        <v>17640</v>
      </c>
      <c r="K17" s="41" t="s">
        <v>196</v>
      </c>
      <c r="L17" s="1"/>
      <c r="N17" t="s">
        <v>77</v>
      </c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34.9662233534439</v>
      </c>
      <c r="H18" s="27" t="s">
        <v>195</v>
      </c>
      <c r="I18" s="1"/>
      <c r="J18" s="40">
        <v>47749.99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25.7544339560398</v>
      </c>
      <c r="H19" s="27" t="s">
        <v>195</v>
      </c>
      <c r="I19" s="1"/>
      <c r="J19" s="40">
        <v>35170.34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6893.34</v>
      </c>
      <c r="K22" s="44" t="s">
        <v>196</v>
      </c>
      <c r="L22" s="17"/>
    </row>
    <row r="23" ht="21.75" customHeight="1" spans="1:13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  <c r="M23" t="s">
        <v>77</v>
      </c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6500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11760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10017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2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0</v>
      </c>
      <c r="K31" s="44" t="s">
        <v>196</v>
      </c>
      <c r="L31" s="12"/>
    </row>
    <row r="32" ht="21.75" customHeight="1" spans="1:12">
      <c r="A32" s="8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136560.33</v>
      </c>
      <c r="K32" s="43" t="s">
        <v>196</v>
      </c>
      <c r="L32" s="8"/>
    </row>
    <row r="33" ht="21.75" customHeight="1" spans="1:12">
      <c r="A33" s="1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1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23.06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22.3777681278165</v>
      </c>
      <c r="K35" s="41" t="s">
        <v>226</v>
      </c>
      <c r="L35" s="1"/>
    </row>
    <row r="36" ht="21.75" customHeight="1" spans="1:12">
      <c r="A36" s="12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0.682231872183525</v>
      </c>
      <c r="K36" s="41" t="s">
        <v>226</v>
      </c>
      <c r="L36" s="12"/>
    </row>
    <row r="37" ht="21.75" customHeight="1" spans="1:12">
      <c r="A37" s="1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4163.31999999998</v>
      </c>
      <c r="K37" s="43" t="s">
        <v>196</v>
      </c>
      <c r="L37" s="1"/>
    </row>
    <row r="38" ht="21.75" customHeight="1"/>
    <row r="39" ht="4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4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B2:L60"/>
  <sheetViews>
    <sheetView zoomScale="115" zoomScaleNormal="115" workbookViewId="0">
      <selection activeCell="A1" sqref="A1"/>
    </sheetView>
  </sheetViews>
  <sheetFormatPr defaultColWidth="11.5" defaultRowHeight="16.8"/>
  <cols>
    <col min="2" max="2" width="28.3365384615385" customWidth="1"/>
    <col min="3" max="3" width="13.6634615384615" customWidth="1"/>
    <col min="8" max="8" width="15.6634615384615" customWidth="1"/>
  </cols>
  <sheetData>
    <row r="2" ht="33.75" customHeight="1" spans="2:12">
      <c r="B2" s="49" t="s">
        <v>921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56" t="s">
        <v>922</v>
      </c>
      <c r="D4" s="95"/>
      <c r="E4" s="95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241">
        <v>40867</v>
      </c>
      <c r="D5" s="95"/>
      <c r="E5" s="95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5" t="s">
        <v>815</v>
      </c>
      <c r="D6" s="95"/>
      <c r="E6" s="5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56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213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spans="2:12">
      <c r="B10" s="60" t="s">
        <v>232</v>
      </c>
      <c r="C10" s="56" t="s">
        <v>603</v>
      </c>
      <c r="D10" s="95"/>
      <c r="E10" s="5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spans="2:12">
      <c r="B13" s="66" t="s">
        <v>233</v>
      </c>
      <c r="C13" s="64"/>
      <c r="D13" s="67" t="s">
        <v>22</v>
      </c>
      <c r="E13" s="67" t="s">
        <v>23</v>
      </c>
      <c r="F13" s="78"/>
      <c r="G13" s="67"/>
      <c r="H13" s="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68">
        <v>1</v>
      </c>
      <c r="E14" s="68">
        <v>1</v>
      </c>
      <c r="F14" s="78"/>
      <c r="G14" s="68"/>
      <c r="H14" s="64"/>
      <c r="I14" s="57" t="s">
        <v>248</v>
      </c>
      <c r="J14" s="64"/>
      <c r="K14" s="119">
        <v>17701.32</v>
      </c>
      <c r="L14" s="120" t="s">
        <v>28</v>
      </c>
    </row>
    <row r="15" spans="2:12">
      <c r="B15" s="66" t="s">
        <v>54</v>
      </c>
      <c r="C15" s="64" t="s">
        <v>55</v>
      </c>
      <c r="D15" s="69">
        <v>1900</v>
      </c>
      <c r="E15" s="69">
        <v>1900</v>
      </c>
      <c r="F15" s="78"/>
      <c r="G15" s="69"/>
      <c r="H15" s="98">
        <f>D15+E15</f>
        <v>3800</v>
      </c>
      <c r="I15" s="57" t="s">
        <v>249</v>
      </c>
      <c r="J15" s="64"/>
      <c r="K15" s="121">
        <v>48.4967671232877</v>
      </c>
      <c r="L15" s="120" t="s">
        <v>56</v>
      </c>
    </row>
    <row r="16" spans="2:12">
      <c r="B16" s="66" t="s">
        <v>234</v>
      </c>
      <c r="C16" s="64" t="s">
        <v>55</v>
      </c>
      <c r="D16" s="69">
        <v>1711</v>
      </c>
      <c r="E16" s="69">
        <v>1711</v>
      </c>
      <c r="F16" s="78"/>
      <c r="G16" s="69"/>
      <c r="H16" s="98">
        <f>D16+E16</f>
        <v>3422</v>
      </c>
      <c r="I16" s="56" t="s">
        <v>157</v>
      </c>
      <c r="J16" s="56"/>
      <c r="K16" s="122">
        <v>2.83199219041292</v>
      </c>
      <c r="L16" s="123" t="s">
        <v>59</v>
      </c>
    </row>
    <row r="17" spans="2:12">
      <c r="B17" s="57" t="s">
        <v>61</v>
      </c>
      <c r="C17" s="56" t="s">
        <v>62</v>
      </c>
      <c r="D17" s="70" t="s">
        <v>63</v>
      </c>
      <c r="E17" s="70" t="s">
        <v>63</v>
      </c>
      <c r="F17" s="78"/>
      <c r="G17" s="70"/>
      <c r="H17" s="98"/>
      <c r="I17" s="56" t="s">
        <v>58</v>
      </c>
      <c r="J17" s="56"/>
      <c r="K17" s="124">
        <v>53.6250347431717</v>
      </c>
      <c r="L17" s="123" t="s">
        <v>59</v>
      </c>
    </row>
    <row r="18" spans="2:12">
      <c r="B18" s="57" t="s">
        <v>66</v>
      </c>
      <c r="C18" s="56" t="s">
        <v>55</v>
      </c>
      <c r="D18" s="71">
        <v>0</v>
      </c>
      <c r="E18" s="71">
        <v>0</v>
      </c>
      <c r="F18" s="78"/>
      <c r="G18" s="71"/>
      <c r="H18" s="98">
        <v>0</v>
      </c>
      <c r="I18" s="56" t="s">
        <v>155</v>
      </c>
      <c r="J18" s="56"/>
      <c r="K18" s="124">
        <v>42.0025173263915</v>
      </c>
      <c r="L18" s="123" t="s">
        <v>59</v>
      </c>
    </row>
    <row r="19" spans="2:12">
      <c r="B19" s="57"/>
      <c r="C19" s="56"/>
      <c r="D19" s="70"/>
      <c r="E19" s="70"/>
      <c r="F19" s="99"/>
      <c r="G19" s="70"/>
      <c r="H19" s="100"/>
      <c r="I19" s="56" t="s">
        <v>155</v>
      </c>
      <c r="J19" s="56"/>
      <c r="K19" s="124">
        <v>1.82302788718581</v>
      </c>
      <c r="L19" s="123" t="s">
        <v>59</v>
      </c>
    </row>
    <row r="20" ht="17.6" spans="2:12">
      <c r="B20" s="72" t="s">
        <v>69</v>
      </c>
      <c r="C20" s="73"/>
      <c r="D20" s="74"/>
      <c r="E20" s="74"/>
      <c r="F20" s="78"/>
      <c r="G20" s="74"/>
      <c r="H20" s="101"/>
      <c r="I20" s="56" t="s">
        <v>923</v>
      </c>
      <c r="J20" s="56"/>
      <c r="K20" s="124">
        <v>7.67343904296403</v>
      </c>
      <c r="L20" s="123" t="s">
        <v>59</v>
      </c>
    </row>
    <row r="21" spans="2:12">
      <c r="B21" s="66" t="s">
        <v>71</v>
      </c>
      <c r="C21" s="64" t="s">
        <v>59</v>
      </c>
      <c r="D21" s="75">
        <v>9.34416805232631</v>
      </c>
      <c r="E21" s="75">
        <v>8.01025724310627</v>
      </c>
      <c r="F21" s="78"/>
      <c r="G21" s="77"/>
      <c r="H21" s="102"/>
      <c r="I21" s="56"/>
      <c r="J21" s="56"/>
      <c r="K21" s="124"/>
      <c r="L21" s="123"/>
    </row>
    <row r="22" spans="2:12">
      <c r="B22" s="66" t="s">
        <v>73</v>
      </c>
      <c r="C22" s="64" t="s">
        <v>59</v>
      </c>
      <c r="D22" s="75">
        <v>75.1172014304905</v>
      </c>
      <c r="E22" s="75">
        <v>70.2396060061095</v>
      </c>
      <c r="F22" s="78"/>
      <c r="G22" s="77"/>
      <c r="H22" s="78"/>
      <c r="I22" s="57"/>
      <c r="J22" s="56"/>
      <c r="K22" s="124"/>
      <c r="L22" s="123"/>
    </row>
    <row r="23" ht="18" spans="2:12">
      <c r="B23" s="66" t="s">
        <v>74</v>
      </c>
      <c r="C23" s="76" t="s">
        <v>75</v>
      </c>
      <c r="D23" s="77"/>
      <c r="E23" s="77"/>
      <c r="F23" s="78"/>
      <c r="G23" s="78"/>
      <c r="H23" s="103" t="s">
        <v>314</v>
      </c>
      <c r="I23" s="125" t="s">
        <v>76</v>
      </c>
      <c r="J23" s="56"/>
      <c r="K23" s="126"/>
      <c r="L23" s="123"/>
    </row>
    <row r="24" ht="18" spans="2:12">
      <c r="B24" s="66" t="s">
        <v>78</v>
      </c>
      <c r="C24" s="56" t="s">
        <v>79</v>
      </c>
      <c r="D24" s="77"/>
      <c r="E24" s="77"/>
      <c r="F24" s="78"/>
      <c r="G24" s="78"/>
      <c r="H24" s="104" t="s">
        <v>924</v>
      </c>
      <c r="I24" s="127" t="s">
        <v>80</v>
      </c>
      <c r="J24" s="56"/>
      <c r="K24" s="122">
        <v>24.9134545637241</v>
      </c>
      <c r="L24" s="123" t="s">
        <v>59</v>
      </c>
    </row>
    <row r="25" ht="18" spans="2:12">
      <c r="B25" s="57" t="s">
        <v>81</v>
      </c>
      <c r="C25" s="56" t="s">
        <v>59</v>
      </c>
      <c r="D25" s="77"/>
      <c r="E25" s="77"/>
      <c r="F25" s="78"/>
      <c r="G25" s="77"/>
      <c r="H25" s="104" t="s">
        <v>608</v>
      </c>
      <c r="I25" s="128" t="s">
        <v>83</v>
      </c>
      <c r="J25" s="56"/>
      <c r="K25" s="122">
        <v>89.5436285881927</v>
      </c>
      <c r="L25" s="123" t="s">
        <v>59</v>
      </c>
    </row>
    <row r="26" ht="18" spans="2:12">
      <c r="B26" s="57" t="s">
        <v>84</v>
      </c>
      <c r="C26" s="56" t="s">
        <v>59</v>
      </c>
      <c r="D26" s="78"/>
      <c r="E26" s="78"/>
      <c r="F26" s="78"/>
      <c r="G26" s="78"/>
      <c r="H26" s="105" t="s">
        <v>313</v>
      </c>
      <c r="I26" s="57" t="s">
        <v>86</v>
      </c>
      <c r="J26" s="56"/>
      <c r="K26" s="122">
        <v>71.9668743052499</v>
      </c>
      <c r="L26" s="123" t="s">
        <v>59</v>
      </c>
    </row>
    <row r="27" ht="18" spans="2:12">
      <c r="B27" s="57" t="s">
        <v>87</v>
      </c>
      <c r="C27" s="56" t="s">
        <v>88</v>
      </c>
      <c r="D27" s="78"/>
      <c r="E27" s="78"/>
      <c r="F27" s="78"/>
      <c r="G27" s="78"/>
      <c r="H27" s="103" t="s">
        <v>338</v>
      </c>
      <c r="I27" s="129"/>
      <c r="J27" s="130"/>
      <c r="K27" s="131"/>
      <c r="L27" s="132"/>
    </row>
    <row r="28" ht="18" spans="2:12">
      <c r="B28" s="57" t="s">
        <v>90</v>
      </c>
      <c r="C28" s="56" t="s">
        <v>91</v>
      </c>
      <c r="D28" s="78"/>
      <c r="E28" s="78"/>
      <c r="F28" s="78"/>
      <c r="G28" s="78"/>
      <c r="H28" s="103" t="s">
        <v>357</v>
      </c>
      <c r="I28" s="63" t="s">
        <v>93</v>
      </c>
      <c r="J28" s="133"/>
      <c r="K28" s="134"/>
      <c r="L28" s="120"/>
    </row>
    <row r="29" spans="2:12">
      <c r="B29" s="66" t="s">
        <v>32</v>
      </c>
      <c r="C29" s="56" t="s">
        <v>62</v>
      </c>
      <c r="D29" s="75">
        <v>7.39833333333333</v>
      </c>
      <c r="E29" s="75">
        <v>7.63818181818182</v>
      </c>
      <c r="F29" s="78"/>
      <c r="G29" s="80"/>
      <c r="H29" s="78"/>
      <c r="I29" s="66" t="s">
        <v>26</v>
      </c>
      <c r="J29" s="64"/>
      <c r="K29" s="134">
        <v>1</v>
      </c>
      <c r="L29" s="120"/>
    </row>
    <row r="30" spans="2:12">
      <c r="B30" s="66" t="s">
        <v>94</v>
      </c>
      <c r="C30" s="56" t="s">
        <v>95</v>
      </c>
      <c r="D30" s="77">
        <v>46.8317528468238</v>
      </c>
      <c r="E30" s="77">
        <v>47.8232849495223</v>
      </c>
      <c r="F30" s="78"/>
      <c r="G30" s="77"/>
      <c r="H30" s="78"/>
      <c r="I30" s="66" t="s">
        <v>96</v>
      </c>
      <c r="J30" s="92"/>
      <c r="K30" s="135">
        <v>4704</v>
      </c>
      <c r="L30" s="120" t="s">
        <v>55</v>
      </c>
    </row>
    <row r="31" ht="18" spans="2:12">
      <c r="B31" s="66" t="s">
        <v>97</v>
      </c>
      <c r="C31" s="64" t="s">
        <v>98</v>
      </c>
      <c r="D31" s="75">
        <v>2.00637470833333</v>
      </c>
      <c r="E31" s="75">
        <v>2.65972840909091</v>
      </c>
      <c r="F31" s="78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8" spans="2:12">
      <c r="B32" s="66" t="s">
        <v>100</v>
      </c>
      <c r="C32" s="64" t="s">
        <v>98</v>
      </c>
      <c r="D32" s="75">
        <v>4.18083333333333</v>
      </c>
      <c r="E32" s="75">
        <v>4.26636363636364</v>
      </c>
      <c r="F32" s="78"/>
      <c r="G32" s="80"/>
      <c r="H32" s="78"/>
      <c r="I32" s="66" t="s">
        <v>66</v>
      </c>
      <c r="J32" s="92"/>
      <c r="K32" s="135">
        <v>1200</v>
      </c>
      <c r="L32" s="120" t="s">
        <v>55</v>
      </c>
    </row>
    <row r="33" spans="2:12">
      <c r="B33" s="66" t="s">
        <v>101</v>
      </c>
      <c r="C33" s="64" t="s">
        <v>102</v>
      </c>
      <c r="D33" s="77">
        <v>312.66</v>
      </c>
      <c r="E33" s="77">
        <v>133.419090909091</v>
      </c>
      <c r="F33" s="78"/>
      <c r="G33" s="80"/>
      <c r="H33" s="78"/>
      <c r="I33" s="57" t="s">
        <v>103</v>
      </c>
      <c r="J33" s="64"/>
      <c r="K33" s="136">
        <v>2.7</v>
      </c>
      <c r="L33" s="120" t="s">
        <v>59</v>
      </c>
    </row>
    <row r="34" spans="2:12">
      <c r="B34" s="66" t="s">
        <v>104</v>
      </c>
      <c r="C34" s="64" t="s">
        <v>62</v>
      </c>
      <c r="D34" s="80">
        <v>0.290272727272727</v>
      </c>
      <c r="E34" s="80">
        <v>0.201909090909091</v>
      </c>
      <c r="F34" s="78"/>
      <c r="G34" s="80"/>
      <c r="H34" s="78"/>
      <c r="I34" s="66" t="s">
        <v>105</v>
      </c>
      <c r="J34" s="64"/>
      <c r="K34" s="137">
        <v>6.51207979913926</v>
      </c>
      <c r="L34" s="120" t="s">
        <v>59</v>
      </c>
    </row>
    <row r="35" spans="2:12"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67.9251234481999</v>
      </c>
      <c r="L35" s="120" t="s">
        <v>59</v>
      </c>
    </row>
    <row r="36" spans="2:12"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7.6" spans="2:12"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spans="2:12">
      <c r="B39" s="85" t="s">
        <v>111</v>
      </c>
      <c r="C39" s="64" t="s">
        <v>59</v>
      </c>
      <c r="D39" s="78">
        <v>63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8" spans="2:12"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50.9617765962692</v>
      </c>
    </row>
    <row r="41" ht="18" spans="2:12"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145">
        <v>45.3669386019037</v>
      </c>
    </row>
    <row r="42" ht="18" spans="2:12"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146">
        <v>0.567213891736669</v>
      </c>
    </row>
    <row r="43" ht="18" spans="2:12">
      <c r="B43" s="66" t="s">
        <v>121</v>
      </c>
      <c r="C43" s="64" t="s">
        <v>122</v>
      </c>
      <c r="D43" s="77">
        <v>637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889" t="s">
        <v>117</v>
      </c>
    </row>
    <row r="44" spans="2:12">
      <c r="B44" s="66" t="s">
        <v>125</v>
      </c>
      <c r="C44" s="64" t="s">
        <v>122</v>
      </c>
      <c r="D44" s="77">
        <v>717</v>
      </c>
      <c r="E44" s="77"/>
      <c r="F44" s="77"/>
      <c r="G44" s="78"/>
      <c r="H44" s="102"/>
      <c r="I44" s="148" t="s">
        <v>126</v>
      </c>
      <c r="J44" s="64"/>
      <c r="K44" s="134"/>
      <c r="L44" s="120"/>
    </row>
    <row r="45" spans="2:12">
      <c r="B45" s="66" t="s">
        <v>127</v>
      </c>
      <c r="C45" s="64" t="s">
        <v>59</v>
      </c>
      <c r="D45" s="75">
        <v>40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</row>
    <row r="46" spans="2:12">
      <c r="B46" s="66" t="s">
        <v>130</v>
      </c>
      <c r="C46" s="64" t="s">
        <v>59</v>
      </c>
      <c r="D46" s="75">
        <v>45</v>
      </c>
      <c r="E46" s="78"/>
      <c r="F46" s="78"/>
      <c r="G46" s="78"/>
      <c r="H46" s="102"/>
      <c r="I46" s="66"/>
      <c r="J46" s="64" t="s">
        <v>131</v>
      </c>
      <c r="K46" s="79">
        <v>163.263329529252</v>
      </c>
      <c r="L46" s="147">
        <f>K46*$L$40/100</f>
        <v>83.2018932583279</v>
      </c>
    </row>
    <row r="47" spans="2:12"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9">
        <f>K46/K24*100/K25*100</f>
        <v>731.846512497103</v>
      </c>
      <c r="L47" s="147">
        <f>K47*$L$40/100</f>
        <v>372.96198472636</v>
      </c>
    </row>
    <row r="48" spans="2:12">
      <c r="B48" s="66" t="s">
        <v>135</v>
      </c>
      <c r="C48" s="64" t="s">
        <v>240</v>
      </c>
      <c r="D48" s="69">
        <v>8649</v>
      </c>
      <c r="E48" s="69"/>
      <c r="F48" s="78"/>
      <c r="G48" s="78" t="s">
        <v>77</v>
      </c>
      <c r="H48" s="102"/>
      <c r="I48" s="148" t="s">
        <v>137</v>
      </c>
      <c r="J48" s="64"/>
      <c r="K48" s="134"/>
      <c r="L48" s="120"/>
    </row>
    <row r="49" spans="2:12">
      <c r="B49" s="57" t="s">
        <v>138</v>
      </c>
      <c r="C49" s="64" t="s">
        <v>240</v>
      </c>
      <c r="D49" s="69">
        <v>8550.72610825819</v>
      </c>
      <c r="E49" s="69"/>
      <c r="F49" s="78"/>
      <c r="G49" s="69"/>
      <c r="H49" s="98"/>
      <c r="I49" s="66"/>
      <c r="J49" s="64" t="s">
        <v>139</v>
      </c>
      <c r="K49" s="150">
        <v>15229.2044377213</v>
      </c>
      <c r="L49" s="231"/>
    </row>
    <row r="50" spans="2:12">
      <c r="B50" s="57" t="s">
        <v>140</v>
      </c>
      <c r="C50" s="64" t="s">
        <v>59</v>
      </c>
      <c r="D50" s="77">
        <v>97.6110286330843</v>
      </c>
      <c r="E50" s="78"/>
      <c r="F50" s="78"/>
      <c r="G50" s="78"/>
      <c r="H50" s="102"/>
      <c r="I50" s="66"/>
      <c r="J50" s="64" t="s">
        <v>141</v>
      </c>
      <c r="K50" s="150">
        <v>314.025147264062</v>
      </c>
      <c r="L50" s="120"/>
    </row>
    <row r="51" spans="2:12">
      <c r="B51" s="84"/>
      <c r="C51" s="56"/>
      <c r="D51" s="78"/>
      <c r="E51" s="107"/>
      <c r="F51" s="78"/>
      <c r="G51" s="78"/>
      <c r="H51" s="102"/>
      <c r="I51" s="64"/>
      <c r="J51" s="64"/>
      <c r="K51" s="143"/>
      <c r="L51" s="120"/>
    </row>
    <row r="52" spans="2:12"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</row>
    <row r="53" ht="17.6" spans="2:12"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</row>
    <row r="54" spans="2:12"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</row>
    <row r="55" spans="2:12">
      <c r="B55" s="66" t="s">
        <v>146</v>
      </c>
      <c r="C55" s="93">
        <v>372436.645494845</v>
      </c>
      <c r="D55" s="69">
        <v>6.70011605262441</v>
      </c>
      <c r="E55" s="111" t="s">
        <v>147</v>
      </c>
      <c r="F55" s="64"/>
      <c r="G55" s="64" t="s">
        <v>148</v>
      </c>
      <c r="H55" s="64"/>
      <c r="I55" s="69">
        <v>412757</v>
      </c>
      <c r="J55" s="69">
        <f>I55/6253492.07223932*100</f>
        <v>6.60042413473782</v>
      </c>
      <c r="K55" s="111" t="s">
        <v>149</v>
      </c>
      <c r="L55" s="114"/>
    </row>
    <row r="56" spans="2:12">
      <c r="B56" s="66"/>
      <c r="C56" s="69"/>
      <c r="D56" s="69"/>
      <c r="E56" s="111"/>
      <c r="F56" s="64"/>
      <c r="G56" s="64" t="s">
        <v>643</v>
      </c>
      <c r="H56" s="64"/>
      <c r="I56" s="69">
        <v>4597400</v>
      </c>
      <c r="J56" s="69">
        <f>I56/6253492.07223932*100</f>
        <v>73.5173235512508</v>
      </c>
      <c r="K56" s="111" t="s">
        <v>149</v>
      </c>
      <c r="L56" s="114"/>
    </row>
    <row r="57" spans="2:12"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60" spans="2:2">
      <c r="B60" t="s">
        <v>77</v>
      </c>
    </row>
  </sheetData>
  <mergeCells count="1">
    <mergeCell ref="B2:L2"/>
  </mergeCells>
  <pageMargins left="0.7" right="0.7" top="0.787401575" bottom="0.7874015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B2:H59"/>
  <sheetViews>
    <sheetView zoomScale="85" zoomScaleNormal="85" workbookViewId="0">
      <selection activeCell="A1" sqref="A1"/>
    </sheetView>
  </sheetViews>
  <sheetFormatPr defaultColWidth="11.5" defaultRowHeight="16.8" outlineLevelCol="7"/>
  <sheetData>
    <row r="2" ht="34" spans="2:7">
      <c r="B2" t="s">
        <v>154</v>
      </c>
      <c r="C2" t="s">
        <v>155</v>
      </c>
      <c r="D2" t="s">
        <v>155</v>
      </c>
      <c r="E2" t="s">
        <v>58</v>
      </c>
      <c r="F2" t="s">
        <v>157</v>
      </c>
      <c r="G2" s="48" t="s">
        <v>661</v>
      </c>
    </row>
    <row r="3" spans="3:7">
      <c r="C3" t="s">
        <v>59</v>
      </c>
      <c r="D3" t="s">
        <v>59</v>
      </c>
      <c r="E3" t="s">
        <v>59</v>
      </c>
      <c r="F3" t="s">
        <v>59</v>
      </c>
      <c r="G3" t="s">
        <v>925</v>
      </c>
    </row>
    <row r="4" spans="2:7">
      <c r="B4" t="s">
        <v>177</v>
      </c>
      <c r="C4">
        <v>0</v>
      </c>
      <c r="D4">
        <v>35.322153361048</v>
      </c>
      <c r="E4">
        <v>64.6778466389519</v>
      </c>
      <c r="F4">
        <v>0</v>
      </c>
      <c r="G4">
        <v>41.3338333333333</v>
      </c>
    </row>
    <row r="5" spans="2:7">
      <c r="B5" t="s">
        <v>166</v>
      </c>
      <c r="C5">
        <v>0</v>
      </c>
      <c r="D5">
        <v>43.9159140947211</v>
      </c>
      <c r="E5">
        <v>56.0840859052789</v>
      </c>
      <c r="F5">
        <v>0</v>
      </c>
      <c r="G5">
        <v>49.3611935483871</v>
      </c>
    </row>
    <row r="6" spans="2:7">
      <c r="B6" t="s">
        <v>167</v>
      </c>
      <c r="C6">
        <v>2.05786176214039</v>
      </c>
      <c r="D6">
        <v>42.352122717599</v>
      </c>
      <c r="E6">
        <v>55.5900155202606</v>
      </c>
      <c r="F6">
        <v>0</v>
      </c>
      <c r="G6">
        <v>50.2139333333333</v>
      </c>
    </row>
    <row r="7" spans="2:7">
      <c r="B7" t="s">
        <v>168</v>
      </c>
      <c r="C7">
        <v>5.15598003870644</v>
      </c>
      <c r="D7">
        <v>37.3226426027653</v>
      </c>
      <c r="E7">
        <v>57.2353036273484</v>
      </c>
      <c r="F7">
        <v>0.286073731179841</v>
      </c>
      <c r="G7">
        <v>48.4873870967742</v>
      </c>
    </row>
    <row r="8" spans="2:7">
      <c r="B8" t="s">
        <v>169</v>
      </c>
      <c r="C8">
        <v>2.25292453768851</v>
      </c>
      <c r="D8">
        <v>41.2207013204838</v>
      </c>
      <c r="E8">
        <v>53.6835671542081</v>
      </c>
      <c r="F8">
        <v>2.84280698761958</v>
      </c>
      <c r="G8">
        <v>45.3890322580645</v>
      </c>
    </row>
    <row r="9" spans="2:7">
      <c r="B9" t="s">
        <v>170</v>
      </c>
      <c r="C9">
        <v>0</v>
      </c>
      <c r="D9">
        <v>42.5405737765535</v>
      </c>
      <c r="E9">
        <v>52.0362073810713</v>
      </c>
      <c r="F9">
        <v>5.4232188423752</v>
      </c>
      <c r="G9">
        <v>50.7078928571429</v>
      </c>
    </row>
    <row r="10" spans="2:7">
      <c r="B10" t="s">
        <v>171</v>
      </c>
      <c r="C10">
        <v>2.76259980626534</v>
      </c>
      <c r="D10">
        <v>44.1428181809632</v>
      </c>
      <c r="E10">
        <v>45.3357910675156</v>
      </c>
      <c r="F10">
        <v>7.75879094525585</v>
      </c>
      <c r="G10">
        <v>54.8805161290323</v>
      </c>
    </row>
    <row r="11" spans="2:7">
      <c r="B11" t="s">
        <v>172</v>
      </c>
      <c r="C11">
        <v>0</v>
      </c>
      <c r="D11">
        <v>44.7850963937757</v>
      </c>
      <c r="E11">
        <v>53.4057495598294</v>
      </c>
      <c r="F11">
        <v>1.8091540463949</v>
      </c>
      <c r="G11">
        <v>48.8257666666667</v>
      </c>
    </row>
    <row r="12" spans="2:7">
      <c r="B12" t="s">
        <v>173</v>
      </c>
      <c r="C12">
        <v>4.82341788677702</v>
      </c>
      <c r="D12">
        <v>41.1598326338305</v>
      </c>
      <c r="E12">
        <v>50.4795763624226</v>
      </c>
      <c r="F12">
        <v>3.53717311696981</v>
      </c>
      <c r="G12">
        <v>50.1585161290323</v>
      </c>
    </row>
    <row r="13" spans="2:7">
      <c r="B13" t="s">
        <v>174</v>
      </c>
      <c r="C13">
        <v>2.60897333768394</v>
      </c>
      <c r="D13">
        <v>41.4652829135901</v>
      </c>
      <c r="E13">
        <v>51.577454852586</v>
      </c>
      <c r="F13">
        <v>4.3482888961399</v>
      </c>
      <c r="G13">
        <v>47.9115666666667</v>
      </c>
    </row>
    <row r="14" spans="2:7">
      <c r="B14" t="s">
        <v>175</v>
      </c>
      <c r="C14">
        <v>1.47833911813858</v>
      </c>
      <c r="D14">
        <v>46.6640956421134</v>
      </c>
      <c r="E14">
        <v>47.8724771821571</v>
      </c>
      <c r="F14">
        <v>3.98508805759095</v>
      </c>
      <c r="G14">
        <v>50.1870967741935</v>
      </c>
    </row>
    <row r="15" spans="2:7">
      <c r="B15" t="s">
        <v>176</v>
      </c>
      <c r="C15">
        <v>0</v>
      </c>
      <c r="D15">
        <v>40.1657379946151</v>
      </c>
      <c r="E15">
        <v>57.1705655938746</v>
      </c>
      <c r="F15">
        <v>2.9440855074587</v>
      </c>
      <c r="G15">
        <v>46.019</v>
      </c>
    </row>
    <row r="26" spans="2:3">
      <c r="B26" t="s">
        <v>104</v>
      </c>
      <c r="C26" t="s">
        <v>22</v>
      </c>
    </row>
    <row r="27" spans="3:3">
      <c r="C27" t="s">
        <v>62</v>
      </c>
    </row>
    <row r="29" spans="2:3">
      <c r="B29" t="s">
        <v>177</v>
      </c>
      <c r="C29">
        <v>0.309</v>
      </c>
    </row>
    <row r="30" spans="2:3">
      <c r="B30" t="s">
        <v>166</v>
      </c>
      <c r="C30">
        <v>0.243</v>
      </c>
    </row>
    <row r="31" spans="2:3">
      <c r="B31" t="s">
        <v>167</v>
      </c>
      <c r="C31">
        <v>0.25</v>
      </c>
    </row>
    <row r="32" spans="2:3">
      <c r="B32" t="s">
        <v>168</v>
      </c>
      <c r="C32">
        <v>0.434</v>
      </c>
    </row>
    <row r="33" spans="2:3">
      <c r="B33" t="s">
        <v>169</v>
      </c>
      <c r="C33">
        <v>0.26</v>
      </c>
    </row>
    <row r="34" spans="2:3">
      <c r="B34" t="s">
        <v>170</v>
      </c>
      <c r="C34">
        <v>0.281</v>
      </c>
    </row>
    <row r="35" spans="2:3">
      <c r="B35" t="s">
        <v>171</v>
      </c>
      <c r="C35">
        <v>0.266</v>
      </c>
    </row>
    <row r="36" spans="2:3">
      <c r="B36" t="s">
        <v>172</v>
      </c>
      <c r="C36">
        <v>0.307</v>
      </c>
    </row>
    <row r="37" spans="2:3">
      <c r="B37" t="s">
        <v>173</v>
      </c>
      <c r="C37">
        <v>0.279</v>
      </c>
    </row>
    <row r="38" spans="2:3">
      <c r="B38" t="s">
        <v>174</v>
      </c>
      <c r="C38">
        <v>0.298</v>
      </c>
    </row>
    <row r="39" spans="2:3">
      <c r="B39" t="s">
        <v>175</v>
      </c>
      <c r="C39">
        <v>0.266</v>
      </c>
    </row>
    <row r="40" spans="2:3">
      <c r="B40" t="s">
        <v>176</v>
      </c>
      <c r="C40">
        <v>0.269</v>
      </c>
    </row>
    <row r="46" ht="68" spans="2:8">
      <c r="B46" s="48"/>
      <c r="C46" s="48" t="s">
        <v>179</v>
      </c>
      <c r="D46" s="48" t="s">
        <v>180</v>
      </c>
      <c r="E46" s="48" t="s">
        <v>181</v>
      </c>
      <c r="F46" s="48" t="s">
        <v>182</v>
      </c>
      <c r="G46" s="48" t="s">
        <v>183</v>
      </c>
      <c r="H46" s="48" t="s">
        <v>184</v>
      </c>
    </row>
    <row r="47" ht="34" spans="2:8">
      <c r="B47" s="48" t="s">
        <v>154</v>
      </c>
      <c r="C47" s="48" t="s">
        <v>185</v>
      </c>
      <c r="D47" s="48" t="s">
        <v>185</v>
      </c>
      <c r="E47" s="48" t="s">
        <v>122</v>
      </c>
      <c r="F47" s="48" t="s">
        <v>122</v>
      </c>
      <c r="G47" s="48"/>
      <c r="H47" s="48"/>
    </row>
    <row r="48" spans="2:8">
      <c r="B48" s="222" t="s">
        <v>177</v>
      </c>
      <c r="C48" s="223">
        <v>566.111111111114</v>
      </c>
      <c r="D48" s="223">
        <v>644.206968860658</v>
      </c>
      <c r="E48" s="225" t="s">
        <v>926</v>
      </c>
      <c r="F48" s="225">
        <v>717</v>
      </c>
      <c r="G48" s="225">
        <v>106.48049072077</v>
      </c>
      <c r="H48" s="226">
        <v>78.9555245622196</v>
      </c>
    </row>
    <row r="49" spans="2:8">
      <c r="B49" s="219" t="s">
        <v>166</v>
      </c>
      <c r="C49" s="223">
        <v>539.247311827953</v>
      </c>
      <c r="D49" s="223">
        <v>601.472750000004</v>
      </c>
      <c r="E49" s="199" t="s">
        <v>926</v>
      </c>
      <c r="F49" s="199">
        <v>717</v>
      </c>
      <c r="G49">
        <v>99.4169834710751</v>
      </c>
      <c r="H49" s="226">
        <v>75.2088301015276</v>
      </c>
    </row>
    <row r="50" spans="2:8">
      <c r="B50" s="219" t="s">
        <v>167</v>
      </c>
      <c r="C50" s="223">
        <v>566.666666666666</v>
      </c>
      <c r="D50" s="223">
        <v>649.541666666667</v>
      </c>
      <c r="E50" s="199" t="s">
        <v>926</v>
      </c>
      <c r="F50" s="199">
        <v>717</v>
      </c>
      <c r="G50">
        <v>107.362258953168</v>
      </c>
      <c r="H50" s="226">
        <v>79.0330079033008</v>
      </c>
    </row>
    <row r="51" spans="2:8">
      <c r="B51" s="219" t="s">
        <v>168</v>
      </c>
      <c r="C51" s="223">
        <v>577.822580645162</v>
      </c>
      <c r="D51" s="223">
        <v>646.85</v>
      </c>
      <c r="E51" s="199" t="s">
        <v>926</v>
      </c>
      <c r="F51" s="199">
        <v>717</v>
      </c>
      <c r="G51">
        <v>106.917355371901</v>
      </c>
      <c r="H51" s="226">
        <v>80.588923381473</v>
      </c>
    </row>
    <row r="52" spans="2:8">
      <c r="B52" s="219" t="s">
        <v>169</v>
      </c>
      <c r="C52" s="223">
        <v>612.231182795699</v>
      </c>
      <c r="D52" s="223">
        <v>643.166666666667</v>
      </c>
      <c r="E52" s="199" t="s">
        <v>926</v>
      </c>
      <c r="F52" s="199">
        <v>717</v>
      </c>
      <c r="G52">
        <v>106.308539944904</v>
      </c>
      <c r="H52" s="226">
        <v>85.3878916033053</v>
      </c>
    </row>
    <row r="53" spans="2:8">
      <c r="B53" s="219" t="s">
        <v>170</v>
      </c>
      <c r="C53" s="223">
        <v>573.809523809522</v>
      </c>
      <c r="D53" s="223">
        <v>619.437499999996</v>
      </c>
      <c r="E53" s="199" t="s">
        <v>926</v>
      </c>
      <c r="F53" s="199">
        <v>717</v>
      </c>
      <c r="G53">
        <v>102.386363636363</v>
      </c>
      <c r="H53" s="226">
        <v>80.0292222886362</v>
      </c>
    </row>
    <row r="54" spans="2:8">
      <c r="B54" s="219" t="s">
        <v>171</v>
      </c>
      <c r="C54" s="223">
        <v>496.236559139786</v>
      </c>
      <c r="D54" s="223">
        <v>644.158333333333</v>
      </c>
      <c r="E54" s="199" t="s">
        <v>926</v>
      </c>
      <c r="F54" s="199">
        <v>717</v>
      </c>
      <c r="G54">
        <v>106.472451790634</v>
      </c>
      <c r="H54" s="226">
        <v>69.2101198242379</v>
      </c>
    </row>
    <row r="55" spans="2:8">
      <c r="B55" s="219" t="s">
        <v>172</v>
      </c>
      <c r="C55" s="223">
        <v>491.388888888889</v>
      </c>
      <c r="D55" s="223">
        <v>643.308333333329</v>
      </c>
      <c r="E55" s="199" t="s">
        <v>926</v>
      </c>
      <c r="F55" s="199">
        <v>717</v>
      </c>
      <c r="G55">
        <v>106.331955922864</v>
      </c>
      <c r="H55" s="226">
        <v>68.5340151867349</v>
      </c>
    </row>
    <row r="56" spans="2:8">
      <c r="B56" s="219" t="s">
        <v>173</v>
      </c>
      <c r="C56" s="223">
        <v>495.295698924731</v>
      </c>
      <c r="D56" s="223">
        <v>640.758333333338</v>
      </c>
      <c r="E56" s="199" t="s">
        <v>926</v>
      </c>
      <c r="F56" s="199">
        <v>717</v>
      </c>
      <c r="G56">
        <v>105.91046831956</v>
      </c>
      <c r="H56" s="226">
        <v>69.0788980369221</v>
      </c>
    </row>
    <row r="57" spans="2:8">
      <c r="B57" s="219" t="s">
        <v>174</v>
      </c>
      <c r="C57" s="223">
        <v>396.416666666666</v>
      </c>
      <c r="D57" s="223">
        <v>600.241666666671</v>
      </c>
      <c r="E57" s="199" t="s">
        <v>926</v>
      </c>
      <c r="F57" s="199">
        <v>717</v>
      </c>
      <c r="G57">
        <v>99.2134986225902</v>
      </c>
      <c r="H57" s="226">
        <v>55.2882380288238</v>
      </c>
    </row>
    <row r="58" spans="2:8">
      <c r="B58" s="219" t="s">
        <v>175</v>
      </c>
      <c r="C58" s="223">
        <v>402.271505376344</v>
      </c>
      <c r="D58" s="223">
        <v>660.449999999996</v>
      </c>
      <c r="E58" s="199" t="s">
        <v>926</v>
      </c>
      <c r="F58" s="199">
        <v>717</v>
      </c>
      <c r="G58">
        <v>109.165289256198</v>
      </c>
      <c r="H58" s="226">
        <v>56.10481246532</v>
      </c>
    </row>
    <row r="59" spans="2:8">
      <c r="B59" s="224" t="s">
        <v>176</v>
      </c>
      <c r="C59" s="223">
        <v>394.784946236559</v>
      </c>
      <c r="D59" s="223">
        <v>621.01</v>
      </c>
      <c r="E59" s="227" t="s">
        <v>926</v>
      </c>
      <c r="F59" s="227">
        <v>717</v>
      </c>
      <c r="G59" s="228">
        <v>102.646280991736</v>
      </c>
      <c r="H59" s="226">
        <v>55.0606619576791</v>
      </c>
    </row>
  </sheetData>
  <pageMargins left="0.7" right="0.7" top="0.787401575" bottom="0.787401575" header="0.3" footer="0.3"/>
  <headerFooter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A1:M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921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637</v>
      </c>
      <c r="G3" s="22"/>
      <c r="H3" s="23" t="s">
        <v>187</v>
      </c>
      <c r="I3" s="5" t="s">
        <v>188</v>
      </c>
      <c r="J3" s="35">
        <v>5329040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605.15</v>
      </c>
      <c r="G4" s="217"/>
      <c r="H4" s="25" t="s">
        <v>187</v>
      </c>
      <c r="I4" s="7" t="s">
        <v>191</v>
      </c>
      <c r="J4" s="37">
        <v>4870000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81.4321070290717</v>
      </c>
      <c r="H6" s="27" t="s">
        <v>195</v>
      </c>
      <c r="I6" s="1"/>
      <c r="J6" s="40">
        <v>962311.71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18.5678929709283</v>
      </c>
      <c r="H7" s="27" t="s">
        <v>195</v>
      </c>
      <c r="I7" s="1"/>
      <c r="J7" s="40">
        <v>219423.29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1181735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33.485737460755</v>
      </c>
      <c r="H11" s="27" t="s">
        <v>195</v>
      </c>
      <c r="I11" s="1"/>
      <c r="J11" s="40">
        <v>340205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34.3211792086889</v>
      </c>
      <c r="F13" s="15" t="s">
        <v>204</v>
      </c>
      <c r="G13" s="31"/>
      <c r="H13" s="15"/>
      <c r="I13" s="15"/>
      <c r="J13" s="45">
        <v>88480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24</v>
      </c>
      <c r="F14" s="15" t="s">
        <v>204</v>
      </c>
      <c r="G14" s="31"/>
      <c r="H14" s="15"/>
      <c r="I14" s="15"/>
      <c r="J14" s="45">
        <v>16944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85.6262433052793</v>
      </c>
      <c r="F15" s="15" t="s">
        <v>204</v>
      </c>
      <c r="G15" s="31"/>
      <c r="H15" s="15"/>
      <c r="I15" s="15"/>
      <c r="J15" s="45">
        <v>223827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6.73346746723372</v>
      </c>
      <c r="H16" s="27" t="s">
        <v>195</v>
      </c>
      <c r="I16" s="1"/>
      <c r="J16" s="40">
        <v>68410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8.88839753573005</v>
      </c>
      <c r="H17" s="27" t="s">
        <v>195</v>
      </c>
      <c r="I17" s="1"/>
      <c r="J17" s="40">
        <v>90303.44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31.9501043072282</v>
      </c>
      <c r="H18" s="27" t="s">
        <v>195</v>
      </c>
      <c r="I18" s="1"/>
      <c r="J18" s="40">
        <v>324603.43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18.9422932290531</v>
      </c>
      <c r="H19" s="27" t="s">
        <v>195</v>
      </c>
      <c r="I19" s="1"/>
      <c r="J19" s="40">
        <v>192447.99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3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68273.52</v>
      </c>
      <c r="K22" s="44" t="s">
        <v>196</v>
      </c>
      <c r="L22" s="17"/>
      <c r="M22" t="s">
        <v>77</v>
      </c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500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9668.82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22599.19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3628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540</v>
      </c>
      <c r="E29" s="15"/>
      <c r="F29" s="15"/>
      <c r="G29" s="31"/>
      <c r="H29" s="15"/>
      <c r="I29" s="15"/>
      <c r="J29" s="45">
        <v>79311.79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8466.67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1015969.86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22.1753824328585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19.0647820245297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3.1106004083287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165765.14</v>
      </c>
      <c r="K37" s="43" t="s">
        <v>196</v>
      </c>
      <c r="L37" s="12"/>
    </row>
    <row r="38" ht="21.75" customHeight="1" spans="1:12">
      <c r="A38" s="1"/>
      <c r="B38" s="19" t="s">
        <v>541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B2:L68"/>
  <sheetViews>
    <sheetView zoomScale="115" zoomScaleNormal="115" workbookViewId="0">
      <selection activeCell="A1" sqref="A1"/>
    </sheetView>
  </sheetViews>
  <sheetFormatPr defaultColWidth="11.5" defaultRowHeight="16.8"/>
  <cols>
    <col min="2" max="2" width="28.3365384615385" customWidth="1"/>
    <col min="8" max="8" width="14.5" customWidth="1"/>
    <col min="10" max="10" width="14.1634615384615" customWidth="1"/>
    <col min="11" max="11" width="11.8365384615385" customWidth="1"/>
  </cols>
  <sheetData>
    <row r="2" ht="30.75" customHeight="1" spans="2:12">
      <c r="B2" s="49" t="s">
        <v>927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56" t="s">
        <v>689</v>
      </c>
      <c r="D4" s="95"/>
      <c r="E4" s="95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186">
        <v>40883</v>
      </c>
      <c r="D5" s="95"/>
      <c r="E5" s="95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5" t="s">
        <v>815</v>
      </c>
      <c r="D6" s="95"/>
      <c r="E6" s="5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56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213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spans="2:12">
      <c r="B10" s="60" t="s">
        <v>232</v>
      </c>
      <c r="C10" s="56" t="s">
        <v>603</v>
      </c>
      <c r="D10" s="95"/>
      <c r="E10" s="5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spans="2:12">
      <c r="B13" s="66" t="s">
        <v>233</v>
      </c>
      <c r="C13" s="64"/>
      <c r="D13" s="67" t="s">
        <v>22</v>
      </c>
      <c r="E13" s="67"/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68">
        <v>1</v>
      </c>
      <c r="E14" s="67"/>
      <c r="F14" s="68"/>
      <c r="G14" s="68"/>
      <c r="H14" s="64"/>
      <c r="I14" s="57" t="s">
        <v>248</v>
      </c>
      <c r="J14" s="64"/>
      <c r="K14" s="119">
        <v>7901.62332258065</v>
      </c>
      <c r="L14" s="120" t="s">
        <v>28</v>
      </c>
    </row>
    <row r="15" spans="2:12">
      <c r="B15" s="66" t="s">
        <v>54</v>
      </c>
      <c r="C15" s="64" t="s">
        <v>55</v>
      </c>
      <c r="D15" s="69">
        <v>1525</v>
      </c>
      <c r="E15" s="67"/>
      <c r="F15" s="69"/>
      <c r="G15" s="69"/>
      <c r="H15" s="98">
        <f>D15</f>
        <v>1525</v>
      </c>
      <c r="I15" s="57" t="s">
        <v>249</v>
      </c>
      <c r="J15" s="64"/>
      <c r="K15" s="121">
        <v>21.6482830755634</v>
      </c>
      <c r="L15" s="120" t="s">
        <v>56</v>
      </c>
    </row>
    <row r="16" spans="2:12">
      <c r="B16" s="66" t="s">
        <v>234</v>
      </c>
      <c r="C16" s="64" t="s">
        <v>55</v>
      </c>
      <c r="D16" s="69">
        <v>1400</v>
      </c>
      <c r="E16" s="67"/>
      <c r="F16" s="69"/>
      <c r="G16" s="69"/>
      <c r="H16" s="98">
        <f>D16</f>
        <v>1400</v>
      </c>
      <c r="I16" s="56" t="s">
        <v>157</v>
      </c>
      <c r="J16" s="56"/>
      <c r="K16" s="122">
        <v>47.3229720950399</v>
      </c>
      <c r="L16" s="123" t="s">
        <v>59</v>
      </c>
    </row>
    <row r="17" spans="2:12">
      <c r="B17" s="57" t="s">
        <v>61</v>
      </c>
      <c r="C17" s="56" t="s">
        <v>62</v>
      </c>
      <c r="D17" s="70" t="s">
        <v>63</v>
      </c>
      <c r="E17" s="67"/>
      <c r="F17" s="70"/>
      <c r="G17" s="70"/>
      <c r="H17" s="98"/>
      <c r="I17" s="56" t="s">
        <v>155</v>
      </c>
      <c r="J17" s="56"/>
      <c r="K17" s="124">
        <v>46.4233721381947</v>
      </c>
      <c r="L17" s="123" t="s">
        <v>59</v>
      </c>
    </row>
    <row r="18" spans="2:12">
      <c r="B18" s="57" t="s">
        <v>66</v>
      </c>
      <c r="C18" s="56" t="s">
        <v>55</v>
      </c>
      <c r="D18" s="71">
        <v>490</v>
      </c>
      <c r="E18" s="67"/>
      <c r="F18" s="71"/>
      <c r="G18" s="71"/>
      <c r="H18" s="98">
        <f>D18</f>
        <v>490</v>
      </c>
      <c r="I18" s="56" t="s">
        <v>155</v>
      </c>
      <c r="J18" s="56"/>
      <c r="K18" s="124">
        <v>6.50942191245855</v>
      </c>
      <c r="L18" s="123" t="s">
        <v>59</v>
      </c>
    </row>
    <row r="19" spans="2:12">
      <c r="B19" s="57"/>
      <c r="C19" s="56"/>
      <c r="D19" s="70"/>
      <c r="E19" s="159"/>
      <c r="F19" s="70"/>
      <c r="G19" s="70"/>
      <c r="H19" s="100"/>
      <c r="I19" s="56"/>
      <c r="J19" s="56"/>
      <c r="K19" s="124"/>
      <c r="L19" s="123"/>
    </row>
    <row r="20" ht="17.6" spans="2:12">
      <c r="B20" s="72" t="s">
        <v>69</v>
      </c>
      <c r="C20" s="73"/>
      <c r="D20" s="74"/>
      <c r="E20" s="67"/>
      <c r="F20" s="74"/>
      <c r="G20" s="74"/>
      <c r="H20" s="101"/>
      <c r="I20" s="56"/>
      <c r="J20" s="56"/>
      <c r="K20" s="124"/>
      <c r="L20" s="123"/>
    </row>
    <row r="21" spans="2:12">
      <c r="B21" s="66" t="s">
        <v>71</v>
      </c>
      <c r="C21" s="64" t="s">
        <v>59</v>
      </c>
      <c r="D21" s="75">
        <v>11.2547288585105</v>
      </c>
      <c r="E21" s="67"/>
      <c r="F21" s="77"/>
      <c r="G21" s="77"/>
      <c r="H21" s="102"/>
      <c r="I21" s="56"/>
      <c r="J21" s="56"/>
      <c r="K21" s="124"/>
      <c r="L21" s="123"/>
    </row>
    <row r="22" spans="2:12">
      <c r="B22" s="66" t="s">
        <v>73</v>
      </c>
      <c r="C22" s="64" t="s">
        <v>59</v>
      </c>
      <c r="D22" s="75">
        <v>70.2957176839123</v>
      </c>
      <c r="E22" s="67"/>
      <c r="F22" s="77"/>
      <c r="G22" s="77"/>
      <c r="H22" s="78"/>
      <c r="I22" s="57"/>
      <c r="J22" s="56"/>
      <c r="K22" s="124"/>
      <c r="L22" s="123"/>
    </row>
    <row r="23" ht="18" spans="2:12">
      <c r="B23" s="66" t="s">
        <v>74</v>
      </c>
      <c r="C23" s="76" t="s">
        <v>75</v>
      </c>
      <c r="D23" s="77"/>
      <c r="E23" s="67"/>
      <c r="F23" s="77"/>
      <c r="G23" s="78"/>
      <c r="H23" s="103" t="s">
        <v>339</v>
      </c>
      <c r="I23" s="125" t="s">
        <v>76</v>
      </c>
      <c r="J23" s="56"/>
      <c r="K23" s="126"/>
      <c r="L23" s="123"/>
    </row>
    <row r="24" ht="18" spans="2:12">
      <c r="B24" s="66" t="s">
        <v>78</v>
      </c>
      <c r="C24" s="56" t="s">
        <v>79</v>
      </c>
      <c r="D24" s="77"/>
      <c r="E24" s="67"/>
      <c r="F24" s="77"/>
      <c r="G24" s="78"/>
      <c r="H24" s="104" t="s">
        <v>928</v>
      </c>
      <c r="I24" s="127" t="s">
        <v>80</v>
      </c>
      <c r="J24" s="56"/>
      <c r="K24" s="122">
        <v>18.6909885218784</v>
      </c>
      <c r="L24" s="123" t="s">
        <v>59</v>
      </c>
    </row>
    <row r="25" ht="18" spans="2:12">
      <c r="B25" s="57" t="s">
        <v>81</v>
      </c>
      <c r="C25" s="56" t="s">
        <v>59</v>
      </c>
      <c r="D25" s="77"/>
      <c r="E25" s="67"/>
      <c r="F25" s="77"/>
      <c r="G25" s="77"/>
      <c r="H25" s="104" t="s">
        <v>929</v>
      </c>
      <c r="I25" s="128" t="s">
        <v>83</v>
      </c>
      <c r="J25" s="56"/>
      <c r="K25" s="122">
        <v>85.9666028723218</v>
      </c>
      <c r="L25" s="123" t="s">
        <v>59</v>
      </c>
    </row>
    <row r="26" ht="18" spans="2:12">
      <c r="B26" s="57" t="s">
        <v>84</v>
      </c>
      <c r="C26" s="56" t="s">
        <v>59</v>
      </c>
      <c r="D26" s="78"/>
      <c r="E26" s="67"/>
      <c r="F26" s="78"/>
      <c r="G26" s="78"/>
      <c r="H26" s="105" t="s">
        <v>722</v>
      </c>
      <c r="I26" s="57" t="s">
        <v>86</v>
      </c>
      <c r="J26" s="56"/>
      <c r="K26" s="122">
        <v>54.3793345885555</v>
      </c>
      <c r="L26" s="123" t="s">
        <v>59</v>
      </c>
    </row>
    <row r="27" ht="18" spans="2:12">
      <c r="B27" s="57" t="s">
        <v>87</v>
      </c>
      <c r="C27" s="56" t="s">
        <v>88</v>
      </c>
      <c r="D27" s="78"/>
      <c r="E27" s="67"/>
      <c r="F27" s="78"/>
      <c r="G27" s="78"/>
      <c r="H27" s="103" t="s">
        <v>237</v>
      </c>
      <c r="I27" s="129"/>
      <c r="J27" s="130"/>
      <c r="K27" s="131"/>
      <c r="L27" s="132"/>
    </row>
    <row r="28" ht="18" spans="2:12">
      <c r="B28" s="57" t="s">
        <v>90</v>
      </c>
      <c r="C28" s="56" t="s">
        <v>91</v>
      </c>
      <c r="D28" s="78"/>
      <c r="E28" s="67"/>
      <c r="F28" s="78"/>
      <c r="G28" s="78"/>
      <c r="H28" s="103" t="s">
        <v>294</v>
      </c>
      <c r="I28" s="63" t="s">
        <v>93</v>
      </c>
      <c r="J28" s="133"/>
      <c r="K28" s="134"/>
      <c r="L28" s="120"/>
    </row>
    <row r="29" spans="2:12">
      <c r="B29" s="66" t="s">
        <v>32</v>
      </c>
      <c r="C29" s="56" t="s">
        <v>62</v>
      </c>
      <c r="D29" s="75">
        <v>7.72666666666667</v>
      </c>
      <c r="E29" s="67"/>
      <c r="F29" s="75"/>
      <c r="G29" s="80"/>
      <c r="H29" s="78"/>
      <c r="I29" s="66" t="s">
        <v>26</v>
      </c>
      <c r="J29" s="64"/>
      <c r="K29" s="134">
        <v>1</v>
      </c>
      <c r="L29" s="120"/>
    </row>
    <row r="30" spans="2:12">
      <c r="B30" s="66" t="s">
        <v>94</v>
      </c>
      <c r="C30" s="56" t="s">
        <v>95</v>
      </c>
      <c r="D30" s="77">
        <v>42.3830136986301</v>
      </c>
      <c r="E30" s="67"/>
      <c r="F30" s="77"/>
      <c r="G30" s="77"/>
      <c r="H30" s="78"/>
      <c r="I30" s="66" t="s">
        <v>96</v>
      </c>
      <c r="J30" s="92"/>
      <c r="K30" s="135">
        <v>1500</v>
      </c>
      <c r="L30" s="120" t="s">
        <v>55</v>
      </c>
    </row>
    <row r="31" ht="18" spans="2:12">
      <c r="B31" s="66" t="s">
        <v>97</v>
      </c>
      <c r="C31" s="64" t="s">
        <v>98</v>
      </c>
      <c r="D31" s="75">
        <v>2.97887988888889</v>
      </c>
      <c r="E31" s="67"/>
      <c r="F31" s="75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8" spans="2:12">
      <c r="B32" s="66" t="s">
        <v>100</v>
      </c>
      <c r="C32" s="64" t="s">
        <v>98</v>
      </c>
      <c r="D32" s="75">
        <v>5.17888888888889</v>
      </c>
      <c r="E32" s="67"/>
      <c r="F32" s="75"/>
      <c r="G32" s="80"/>
      <c r="H32" s="78"/>
      <c r="I32" s="66" t="s">
        <v>66</v>
      </c>
      <c r="J32" s="92"/>
      <c r="K32" s="135">
        <v>490</v>
      </c>
      <c r="L32" s="120" t="s">
        <v>55</v>
      </c>
    </row>
    <row r="33" spans="2:12">
      <c r="B33" s="66" t="s">
        <v>101</v>
      </c>
      <c r="C33" s="64" t="s">
        <v>102</v>
      </c>
      <c r="D33" s="77">
        <v>187.513333333333</v>
      </c>
      <c r="E33" s="67"/>
      <c r="F33" s="80"/>
      <c r="G33" s="80"/>
      <c r="H33" s="78"/>
      <c r="I33" s="57" t="s">
        <v>103</v>
      </c>
      <c r="J33" s="64"/>
      <c r="K33" s="137">
        <v>4.7</v>
      </c>
      <c r="L33" s="120" t="s">
        <v>59</v>
      </c>
    </row>
    <row r="34" spans="2:12">
      <c r="B34" s="66" t="s">
        <v>104</v>
      </c>
      <c r="C34" s="64" t="s">
        <v>62</v>
      </c>
      <c r="D34" s="80">
        <v>0.222277777777778</v>
      </c>
      <c r="E34" s="67"/>
      <c r="F34" s="80"/>
      <c r="G34" s="80"/>
      <c r="H34" s="78"/>
      <c r="I34" s="66" t="s">
        <v>105</v>
      </c>
      <c r="J34" s="64"/>
      <c r="K34" s="137">
        <v>10.301550738307</v>
      </c>
      <c r="L34" s="120" t="s">
        <v>59</v>
      </c>
    </row>
    <row r="35" spans="2:12"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69.064820216902</v>
      </c>
      <c r="L35" s="120" t="s">
        <v>59</v>
      </c>
    </row>
    <row r="36" spans="2:12"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7.6" spans="2:12"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300</v>
      </c>
      <c r="L38" s="120"/>
    </row>
    <row r="39" spans="2:12">
      <c r="B39" s="85" t="s">
        <v>111</v>
      </c>
      <c r="C39" s="64" t="s">
        <v>59</v>
      </c>
      <c r="D39" s="78">
        <v>68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8" spans="2:12"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53.1969648515575</v>
      </c>
    </row>
    <row r="41" ht="18" spans="2:12"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887" t="s">
        <v>117</v>
      </c>
    </row>
    <row r="42" ht="18" spans="2:12">
      <c r="B42" s="66" t="s">
        <v>118</v>
      </c>
      <c r="C42" s="64"/>
      <c r="D42" s="78" t="s">
        <v>301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146">
        <v>1.40577877443572</v>
      </c>
    </row>
    <row r="43" ht="18" spans="2:12">
      <c r="B43" s="66" t="s">
        <v>121</v>
      </c>
      <c r="C43" s="64" t="s">
        <v>122</v>
      </c>
      <c r="D43" s="77">
        <v>250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15.8538195290791</v>
      </c>
    </row>
    <row r="44" spans="2:12">
      <c r="B44" s="66" t="s">
        <v>125</v>
      </c>
      <c r="C44" s="64" t="s">
        <v>122</v>
      </c>
      <c r="D44" s="77">
        <v>233</v>
      </c>
      <c r="E44" s="77"/>
      <c r="F44" s="77"/>
      <c r="G44" s="78"/>
      <c r="H44" s="102"/>
      <c r="I44" s="148" t="s">
        <v>126</v>
      </c>
      <c r="J44" s="64"/>
      <c r="K44" s="134"/>
      <c r="L44" s="120"/>
    </row>
    <row r="45" spans="2:12">
      <c r="B45" s="66" t="s">
        <v>127</v>
      </c>
      <c r="C45" s="64" t="s">
        <v>59</v>
      </c>
      <c r="D45" s="78">
        <v>43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</row>
    <row r="46" spans="2:12">
      <c r="B46" s="66" t="s">
        <v>130</v>
      </c>
      <c r="C46" s="64" t="s">
        <v>59</v>
      </c>
      <c r="D46" s="78">
        <v>40</v>
      </c>
      <c r="E46" s="78"/>
      <c r="F46" s="78"/>
      <c r="G46" s="78"/>
      <c r="H46" s="102"/>
      <c r="I46" s="66"/>
      <c r="J46" s="64" t="s">
        <v>131</v>
      </c>
      <c r="K46" s="79">
        <v>111</v>
      </c>
      <c r="L46" s="147">
        <f>L40/100*K46</f>
        <v>59.0486309852289</v>
      </c>
    </row>
    <row r="47" spans="2:12"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9">
        <f>K46/K24*100/K25*100</f>
        <v>690.813701735543</v>
      </c>
      <c r="L47" s="147">
        <f>L40/100*K47</f>
        <v>367.491922102001</v>
      </c>
    </row>
    <row r="48" spans="2:12">
      <c r="B48" s="66" t="s">
        <v>135</v>
      </c>
      <c r="C48" s="64" t="s">
        <v>240</v>
      </c>
      <c r="D48" s="69">
        <v>8532</v>
      </c>
      <c r="E48" s="69"/>
      <c r="F48" s="78"/>
      <c r="G48" s="78" t="s">
        <v>77</v>
      </c>
      <c r="H48" s="102"/>
      <c r="I48" s="148" t="s">
        <v>137</v>
      </c>
      <c r="J48" s="64"/>
      <c r="K48" s="134"/>
      <c r="L48" s="120"/>
    </row>
    <row r="49" spans="2:12">
      <c r="B49" s="57" t="s">
        <v>138</v>
      </c>
      <c r="C49" s="64" t="s">
        <v>240</v>
      </c>
      <c r="D49" s="69">
        <f>K49*365/D43</f>
        <v>6970.56812666666</v>
      </c>
      <c r="E49" s="69"/>
      <c r="F49" s="78"/>
      <c r="G49" s="69"/>
      <c r="H49" s="98"/>
      <c r="I49" s="66"/>
      <c r="J49" s="64" t="s">
        <v>139</v>
      </c>
      <c r="K49" s="150">
        <f>5153.03433333333-378.672602739726</f>
        <v>4774.3617305936</v>
      </c>
      <c r="L49" s="231"/>
    </row>
    <row r="50" spans="2:12">
      <c r="B50" s="57" t="s">
        <v>140</v>
      </c>
      <c r="C50" s="64" t="s">
        <v>59</v>
      </c>
      <c r="D50" s="77">
        <f>D49/24/365*100</f>
        <v>79.5726955098934</v>
      </c>
      <c r="E50" s="78"/>
      <c r="F50" s="78"/>
      <c r="G50" s="78"/>
      <c r="H50" s="102"/>
      <c r="I50" s="66"/>
      <c r="J50" s="64" t="s">
        <v>141</v>
      </c>
      <c r="K50" s="150">
        <f>K49/K15</f>
        <v>220.542281063522</v>
      </c>
      <c r="L50" s="120"/>
    </row>
    <row r="51" spans="2:12"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</row>
    <row r="52" spans="2:12"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</row>
    <row r="53" ht="17.6" spans="2:12"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</row>
    <row r="54" spans="2:12"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</row>
    <row r="55" spans="2:12">
      <c r="B55" s="66" t="s">
        <v>146</v>
      </c>
      <c r="C55" s="93">
        <v>189456</v>
      </c>
      <c r="D55" s="69">
        <v>10.0728522394846</v>
      </c>
      <c r="E55" s="111" t="s">
        <v>147</v>
      </c>
      <c r="F55" s="64"/>
      <c r="G55" s="64" t="s">
        <v>148</v>
      </c>
      <c r="H55" s="64"/>
      <c r="I55" s="69">
        <v>306021.606024817</v>
      </c>
      <c r="J55" s="69">
        <f>I55/1749634.91317829*100</f>
        <v>17.4905978224288</v>
      </c>
      <c r="K55" s="111" t="s">
        <v>149</v>
      </c>
      <c r="L55" s="114"/>
    </row>
    <row r="56" spans="2:12">
      <c r="B56" s="66" t="s">
        <v>430</v>
      </c>
      <c r="C56" s="93">
        <v>1438.6644792021</v>
      </c>
      <c r="D56" s="69">
        <f>C56/C55*D55</f>
        <v>0.0764898167447733</v>
      </c>
      <c r="E56" s="111" t="s">
        <v>147</v>
      </c>
      <c r="F56" s="64"/>
      <c r="G56" s="64" t="s">
        <v>930</v>
      </c>
      <c r="H56" s="64"/>
      <c r="I56" s="69">
        <v>1455823.53616478</v>
      </c>
      <c r="J56" s="69">
        <f>I56/1935349*100</f>
        <v>75.2227911433429</v>
      </c>
      <c r="K56" s="111" t="s">
        <v>149</v>
      </c>
      <c r="L56" s="114"/>
    </row>
    <row r="57" spans="2:12"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60" spans="2:2">
      <c r="B60" t="s">
        <v>77</v>
      </c>
    </row>
    <row r="68" spans="11:11">
      <c r="K68" t="s">
        <v>77</v>
      </c>
    </row>
  </sheetData>
  <mergeCells count="1">
    <mergeCell ref="B2:L2"/>
  </mergeCells>
  <pageMargins left="0.7" right="0.7" top="0.787401575" bottom="0.7874015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B2:H63"/>
  <sheetViews>
    <sheetView zoomScale="85" zoomScaleNormal="85" workbookViewId="0">
      <selection activeCell="A1" sqref="A1"/>
    </sheetView>
  </sheetViews>
  <sheetFormatPr defaultColWidth="11.5" defaultRowHeight="16.8" outlineLevelCol="7"/>
  <sheetData>
    <row r="2" ht="34" spans="2:6">
      <c r="B2" t="s">
        <v>154</v>
      </c>
      <c r="C2" t="s">
        <v>155</v>
      </c>
      <c r="D2" t="s">
        <v>155</v>
      </c>
      <c r="E2" t="s">
        <v>157</v>
      </c>
      <c r="F2" s="48" t="s">
        <v>661</v>
      </c>
    </row>
    <row r="3" spans="3:6">
      <c r="C3" t="s">
        <v>59</v>
      </c>
      <c r="D3" t="s">
        <v>59</v>
      </c>
      <c r="E3" t="s">
        <v>59</v>
      </c>
      <c r="F3" t="s">
        <v>925</v>
      </c>
    </row>
    <row r="4" spans="2:6">
      <c r="B4" t="s">
        <v>177</v>
      </c>
      <c r="C4">
        <v>8.58466757684829</v>
      </c>
      <c r="D4">
        <v>33.056141657358</v>
      </c>
      <c r="E4">
        <v>58.3591907657937</v>
      </c>
      <c r="F4">
        <v>16.114</v>
      </c>
    </row>
    <row r="5" spans="2:6">
      <c r="B5" t="s">
        <v>166</v>
      </c>
      <c r="C5">
        <v>8.14568097892984</v>
      </c>
      <c r="D5">
        <v>38.7191369198465</v>
      </c>
      <c r="E5">
        <v>53.1351821012237</v>
      </c>
      <c r="F5">
        <v>17.8206451612903</v>
      </c>
    </row>
    <row r="6" spans="2:6">
      <c r="B6" t="s">
        <v>167</v>
      </c>
      <c r="C6">
        <v>2.88353544513857</v>
      </c>
      <c r="D6">
        <v>48.9912672129044</v>
      </c>
      <c r="E6">
        <v>48.125197341957</v>
      </c>
      <c r="F6">
        <v>23.1197666666667</v>
      </c>
    </row>
    <row r="7" spans="2:6">
      <c r="B7" t="s">
        <v>168</v>
      </c>
      <c r="C7">
        <v>3.15963445459848</v>
      </c>
      <c r="D7">
        <v>54.199883336574</v>
      </c>
      <c r="E7">
        <v>42.6404822088275</v>
      </c>
      <c r="F7">
        <v>26.5445161290323</v>
      </c>
    </row>
    <row r="8" spans="2:6">
      <c r="B8" t="s">
        <v>169</v>
      </c>
      <c r="C8">
        <v>4.32609586235149</v>
      </c>
      <c r="D8">
        <v>61.4666120442442</v>
      </c>
      <c r="E8">
        <v>34.2072920934043</v>
      </c>
      <c r="F8">
        <v>19.6854838709677</v>
      </c>
    </row>
    <row r="9" spans="2:6">
      <c r="B9" t="s">
        <v>170</v>
      </c>
      <c r="C9">
        <v>4.37905062182519</v>
      </c>
      <c r="D9">
        <v>64.5121737607287</v>
      </c>
      <c r="E9">
        <v>31.1087756174461</v>
      </c>
      <c r="F9">
        <v>20.3892857142857</v>
      </c>
    </row>
    <row r="10" spans="2:6">
      <c r="B10" t="s">
        <v>171</v>
      </c>
      <c r="C10">
        <v>5.21135945929922</v>
      </c>
      <c r="D10">
        <v>48.2243433924231</v>
      </c>
      <c r="E10">
        <v>46.5642971482777</v>
      </c>
      <c r="F10">
        <v>27.2048387096774</v>
      </c>
    </row>
    <row r="11" spans="2:6">
      <c r="B11" t="s">
        <v>172</v>
      </c>
      <c r="C11">
        <v>6.74534161490683</v>
      </c>
      <c r="D11">
        <v>49.2546583850932</v>
      </c>
      <c r="E11">
        <v>44</v>
      </c>
      <c r="F11">
        <v>26.8333333333333</v>
      </c>
    </row>
    <row r="12" spans="2:6">
      <c r="B12" t="s">
        <v>173</v>
      </c>
      <c r="C12">
        <v>10.012782275245</v>
      </c>
      <c r="D12">
        <v>38.7871041045306</v>
      </c>
      <c r="E12">
        <v>51.2001136202244</v>
      </c>
      <c r="F12">
        <v>22.7129032258065</v>
      </c>
    </row>
    <row r="13" spans="2:6">
      <c r="B13" t="s">
        <v>174</v>
      </c>
      <c r="C13">
        <v>9.21973706675772</v>
      </c>
      <c r="D13">
        <v>35.1886631381253</v>
      </c>
      <c r="E13">
        <v>55.591599795117</v>
      </c>
      <c r="F13">
        <v>19.5233333333333</v>
      </c>
    </row>
    <row r="14" spans="2:6">
      <c r="B14" t="s">
        <v>175</v>
      </c>
      <c r="C14">
        <v>9.37950937950938</v>
      </c>
      <c r="D14">
        <v>34.9847683181017</v>
      </c>
      <c r="E14">
        <v>55.635722302389</v>
      </c>
      <c r="F14">
        <v>20.1193548387097</v>
      </c>
    </row>
    <row r="15" spans="2:6">
      <c r="B15" t="s">
        <v>176</v>
      </c>
      <c r="C15">
        <v>7.85315243415802</v>
      </c>
      <c r="D15">
        <v>42.2505985634477</v>
      </c>
      <c r="E15">
        <v>49.8962490023942</v>
      </c>
      <c r="F15">
        <v>20.2096774193548</v>
      </c>
    </row>
    <row r="26" spans="2:3">
      <c r="B26" t="s">
        <v>104</v>
      </c>
      <c r="C26" t="s">
        <v>22</v>
      </c>
    </row>
    <row r="27" spans="3:3">
      <c r="C27" t="s">
        <v>62</v>
      </c>
    </row>
    <row r="29" spans="2:3">
      <c r="B29" t="s">
        <v>177</v>
      </c>
      <c r="C29">
        <v>0</v>
      </c>
    </row>
    <row r="30" spans="2:3">
      <c r="B30" t="s">
        <v>166</v>
      </c>
      <c r="C30">
        <v>0.249</v>
      </c>
    </row>
    <row r="31" spans="2:3">
      <c r="B31" t="s">
        <v>167</v>
      </c>
      <c r="C31">
        <v>0.2335</v>
      </c>
    </row>
    <row r="32" spans="2:3">
      <c r="B32" t="s">
        <v>168</v>
      </c>
      <c r="C32">
        <v>0</v>
      </c>
    </row>
    <row r="33" spans="2:3">
      <c r="B33" t="s">
        <v>169</v>
      </c>
      <c r="C33">
        <v>0.141</v>
      </c>
    </row>
    <row r="34" spans="2:3">
      <c r="B34" t="s">
        <v>170</v>
      </c>
      <c r="C34">
        <v>0.2115</v>
      </c>
    </row>
    <row r="35" spans="2:3">
      <c r="B35" t="s">
        <v>171</v>
      </c>
      <c r="C35">
        <v>0.2265</v>
      </c>
    </row>
    <row r="36" spans="2:3">
      <c r="B36" t="s">
        <v>172</v>
      </c>
      <c r="C36">
        <v>0.231</v>
      </c>
    </row>
    <row r="37" spans="2:3">
      <c r="B37" t="s">
        <v>173</v>
      </c>
      <c r="C37">
        <v>0.2115</v>
      </c>
    </row>
    <row r="38" spans="2:3">
      <c r="B38" t="s">
        <v>174</v>
      </c>
      <c r="C38">
        <v>0.2585</v>
      </c>
    </row>
    <row r="39" spans="2:3">
      <c r="B39" t="s">
        <v>175</v>
      </c>
      <c r="C39">
        <v>0.238</v>
      </c>
    </row>
    <row r="40" spans="2:3">
      <c r="B40" t="s">
        <v>176</v>
      </c>
      <c r="C40">
        <v>0</v>
      </c>
    </row>
    <row r="48" spans="3:8"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184</v>
      </c>
    </row>
    <row r="49" spans="2:6">
      <c r="B49" t="s">
        <v>154</v>
      </c>
      <c r="C49" t="s">
        <v>185</v>
      </c>
      <c r="D49" t="s">
        <v>185</v>
      </c>
      <c r="E49" t="s">
        <v>122</v>
      </c>
      <c r="F49" t="s">
        <v>122</v>
      </c>
    </row>
    <row r="50" spans="2:8">
      <c r="B50" t="s">
        <v>177</v>
      </c>
      <c r="C50">
        <v>169.583965517241</v>
      </c>
      <c r="D50">
        <v>198.973666666667</v>
      </c>
      <c r="E50" t="s">
        <v>931</v>
      </c>
      <c r="F50">
        <f>E50*40/43</f>
        <v>220.93023255814</v>
      </c>
      <c r="G50">
        <v>83.7783859649123</v>
      </c>
      <c r="H50">
        <f>C50/F50*100</f>
        <v>76.759058076225</v>
      </c>
    </row>
    <row r="51" spans="2:8">
      <c r="B51" t="s">
        <v>166</v>
      </c>
      <c r="C51">
        <v>168.447176767677</v>
      </c>
      <c r="D51">
        <v>191.4115</v>
      </c>
      <c r="E51" t="s">
        <v>931</v>
      </c>
      <c r="F51">
        <f t="shared" ref="F51:F61" si="0">E51*40/43</f>
        <v>220.93023255814</v>
      </c>
      <c r="G51">
        <v>80.5943157894737</v>
      </c>
      <c r="H51">
        <f t="shared" ref="H51:H61" si="1">C51/F51*100</f>
        <v>76.24451158958</v>
      </c>
    </row>
    <row r="52" spans="2:8">
      <c r="B52" t="s">
        <v>167</v>
      </c>
      <c r="C52">
        <v>167.257691964287</v>
      </c>
      <c r="D52">
        <v>207.82925</v>
      </c>
      <c r="E52" t="s">
        <v>931</v>
      </c>
      <c r="F52">
        <f t="shared" si="0"/>
        <v>220.93023255814</v>
      </c>
      <c r="G52">
        <v>87.507052631579</v>
      </c>
      <c r="H52">
        <f t="shared" si="1"/>
        <v>75.7061132048876</v>
      </c>
    </row>
    <row r="53" spans="2:8">
      <c r="B53" t="s">
        <v>168</v>
      </c>
      <c r="C53">
        <v>220.349035714285</v>
      </c>
      <c r="D53">
        <v>238.95625</v>
      </c>
      <c r="E53" t="s">
        <v>931</v>
      </c>
      <c r="F53">
        <f t="shared" si="0"/>
        <v>220.93023255814</v>
      </c>
      <c r="G53">
        <v>100.613157894737</v>
      </c>
      <c r="H53">
        <f t="shared" si="1"/>
        <v>99.7369319548869</v>
      </c>
    </row>
    <row r="54" spans="2:8">
      <c r="B54" t="s">
        <v>169</v>
      </c>
      <c r="C54">
        <v>195.227116666667</v>
      </c>
      <c r="D54">
        <v>233.395833333333</v>
      </c>
      <c r="E54" t="s">
        <v>931</v>
      </c>
      <c r="F54">
        <f t="shared" si="0"/>
        <v>220.93023255814</v>
      </c>
      <c r="G54">
        <v>98.2719298245614</v>
      </c>
      <c r="H54">
        <f t="shared" si="1"/>
        <v>88.3659580701756</v>
      </c>
    </row>
    <row r="55" spans="2:8">
      <c r="B55" t="s">
        <v>170</v>
      </c>
      <c r="C55">
        <v>202.292163580246</v>
      </c>
      <c r="D55">
        <v>215.724333333333</v>
      </c>
      <c r="E55" t="s">
        <v>931</v>
      </c>
      <c r="F55">
        <f t="shared" si="0"/>
        <v>220.93023255814</v>
      </c>
      <c r="G55">
        <v>90.831298245614</v>
      </c>
      <c r="H55">
        <f t="shared" si="1"/>
        <v>91.5638214100062</v>
      </c>
    </row>
    <row r="56" spans="2:8">
      <c r="B56" t="s">
        <v>171</v>
      </c>
      <c r="C56">
        <v>193.479887931035</v>
      </c>
      <c r="D56">
        <v>237.174083333333</v>
      </c>
      <c r="E56" t="s">
        <v>931</v>
      </c>
      <c r="F56">
        <f t="shared" si="0"/>
        <v>220.93023255814</v>
      </c>
      <c r="G56">
        <v>99.8627719298246</v>
      </c>
      <c r="H56">
        <f t="shared" si="1"/>
        <v>87.5751071687843</v>
      </c>
    </row>
    <row r="57" spans="2:8">
      <c r="B57" t="s">
        <v>172</v>
      </c>
      <c r="C57">
        <v>170.530992857143</v>
      </c>
      <c r="D57">
        <v>244.720666666667</v>
      </c>
      <c r="E57" t="s">
        <v>931</v>
      </c>
      <c r="F57">
        <f t="shared" si="0"/>
        <v>220.93023255814</v>
      </c>
      <c r="G57">
        <v>103.040280701754</v>
      </c>
      <c r="H57">
        <f t="shared" si="1"/>
        <v>77.1877125563908</v>
      </c>
    </row>
    <row r="58" spans="2:8">
      <c r="B58" t="s">
        <v>173</v>
      </c>
      <c r="C58">
        <v>170.45115625</v>
      </c>
      <c r="D58">
        <v>230.2395</v>
      </c>
      <c r="E58" t="s">
        <v>931</v>
      </c>
      <c r="F58">
        <f t="shared" si="0"/>
        <v>220.93023255814</v>
      </c>
      <c r="G58">
        <v>96.942947368421</v>
      </c>
      <c r="H58">
        <f t="shared" si="1"/>
        <v>77.1515759868423</v>
      </c>
    </row>
    <row r="59" spans="2:8">
      <c r="B59" t="s">
        <v>174</v>
      </c>
      <c r="C59">
        <v>117.758995535714</v>
      </c>
      <c r="D59">
        <v>209.081583333333</v>
      </c>
      <c r="E59" t="s">
        <v>931</v>
      </c>
      <c r="F59">
        <f t="shared" si="0"/>
        <v>220.93023255814</v>
      </c>
      <c r="G59">
        <v>88.034350877193</v>
      </c>
      <c r="H59">
        <f t="shared" si="1"/>
        <v>53.3014400845864</v>
      </c>
    </row>
    <row r="60" spans="2:8">
      <c r="B60" t="s">
        <v>175</v>
      </c>
      <c r="C60">
        <v>109.45031693989</v>
      </c>
      <c r="D60">
        <v>186.628833333333</v>
      </c>
      <c r="E60" t="s">
        <v>931</v>
      </c>
      <c r="F60">
        <f t="shared" si="0"/>
        <v>220.93023255814</v>
      </c>
      <c r="G60">
        <v>78.5805614035088</v>
      </c>
      <c r="H60">
        <f t="shared" si="1"/>
        <v>49.5406697727925</v>
      </c>
    </row>
    <row r="61" spans="2:8">
      <c r="B61" t="s">
        <v>176</v>
      </c>
      <c r="C61">
        <v>109.45031693989</v>
      </c>
      <c r="D61">
        <v>182.381666666667</v>
      </c>
      <c r="E61" t="s">
        <v>931</v>
      </c>
      <c r="F61">
        <f t="shared" si="0"/>
        <v>220.93023255814</v>
      </c>
      <c r="G61">
        <v>76.7922807017544</v>
      </c>
      <c r="H61">
        <f t="shared" si="1"/>
        <v>49.5406697727925</v>
      </c>
    </row>
    <row r="63" spans="7:8">
      <c r="G63">
        <f>AVERAGE(G50:G61)</f>
        <v>90.4041111111111</v>
      </c>
      <c r="H63">
        <f>AVERAGE(H50:H61)</f>
        <v>75.2227974706625</v>
      </c>
    </row>
  </sheetData>
  <pageMargins left="0.7" right="0.7" top="0.787401575" bottom="0.787401575" header="0.3" footer="0.3"/>
  <headerFooter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A1:O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927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250</v>
      </c>
      <c r="G3" s="22"/>
      <c r="H3" s="23" t="s">
        <v>187</v>
      </c>
      <c r="I3" s="5" t="s">
        <v>188</v>
      </c>
      <c r="J3" s="35">
        <v>1673661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237.5</v>
      </c>
      <c r="G4" s="217"/>
      <c r="H4" s="25" t="s">
        <v>187</v>
      </c>
      <c r="I4" s="7" t="s">
        <v>191</v>
      </c>
      <c r="J4" s="37">
        <v>1603000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72.6136710304978</v>
      </c>
      <c r="H6" s="27" t="s">
        <v>195</v>
      </c>
      <c r="I6" s="1"/>
      <c r="J6" s="40">
        <v>352537.71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27.3863289695022</v>
      </c>
      <c r="H7" s="27" t="s">
        <v>195</v>
      </c>
      <c r="I7" s="1"/>
      <c r="J7" s="40">
        <v>132960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485497.71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26.3988064720071</v>
      </c>
      <c r="H11" s="27" t="s">
        <v>195</v>
      </c>
      <c r="I11" s="1"/>
      <c r="J11" s="40">
        <v>126741.38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32">
        <v>33.7526977363515</v>
      </c>
      <c r="F14" s="15" t="s">
        <v>204</v>
      </c>
      <c r="G14" s="31"/>
      <c r="H14" s="15"/>
      <c r="I14" s="15"/>
      <c r="J14" s="45">
        <v>126741.38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96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8.43569528843923</v>
      </c>
      <c r="H16" s="27" t="s">
        <v>195</v>
      </c>
      <c r="I16" s="1"/>
      <c r="J16" s="40">
        <v>40500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6.10098643688083</v>
      </c>
      <c r="H17" s="27" t="s">
        <v>195</v>
      </c>
      <c r="I17" s="1"/>
      <c r="J17" s="40">
        <v>29291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29.5695677106079</v>
      </c>
      <c r="H18" s="27" t="s">
        <v>195</v>
      </c>
      <c r="I18" s="1"/>
      <c r="J18" s="40">
        <v>141964.29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29.494944092065</v>
      </c>
      <c r="H19" s="27" t="s">
        <v>195</v>
      </c>
      <c r="I19" s="1"/>
      <c r="J19" s="40">
        <v>141606.02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5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33415</v>
      </c>
      <c r="K21" s="44" t="s">
        <v>196</v>
      </c>
      <c r="L21" s="15"/>
      <c r="O21" t="s">
        <v>77</v>
      </c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4329.02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12000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3500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14722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958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13489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28693</v>
      </c>
      <c r="K29" s="44" t="s">
        <v>196</v>
      </c>
      <c r="L29" s="15"/>
    </row>
    <row r="30" ht="21.75" customHeight="1" spans="1:14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  <c r="N30" t="s">
        <v>77</v>
      </c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30500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480102.69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29.008127093838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28.6857786612701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0.322348432567882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5395.0199999999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149998474074526"/>
  </sheetPr>
  <dimension ref="B2:P60"/>
  <sheetViews>
    <sheetView zoomScale="115" zoomScaleNormal="115" workbookViewId="0">
      <selection activeCell="A1" sqref="A1"/>
    </sheetView>
  </sheetViews>
  <sheetFormatPr defaultColWidth="11.5" defaultRowHeight="16.8"/>
  <cols>
    <col min="2" max="2" width="27.3365384615385" customWidth="1"/>
    <col min="8" max="8" width="15" customWidth="1"/>
    <col min="10" max="10" width="13.6634615384615" customWidth="1"/>
  </cols>
  <sheetData>
    <row r="2" ht="27.75" customHeight="1" spans="2:12">
      <c r="B2" s="49" t="s">
        <v>932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56" t="s">
        <v>739</v>
      </c>
      <c r="D4" s="56"/>
      <c r="E4" s="96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240">
        <v>40909</v>
      </c>
      <c r="D5" s="240"/>
      <c r="E5" s="96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5" t="s">
        <v>815</v>
      </c>
      <c r="D6" s="55"/>
      <c r="E6" s="9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56" t="s">
        <v>369</v>
      </c>
      <c r="D7" s="56"/>
      <c r="E7" s="9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213" t="s">
        <v>11</v>
      </c>
      <c r="D8" s="213"/>
      <c r="E8" s="9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6" t="s">
        <v>13</v>
      </c>
      <c r="D9" s="56"/>
      <c r="E9" s="96"/>
      <c r="F9" s="56"/>
      <c r="G9" s="56"/>
      <c r="H9" s="56"/>
      <c r="I9" s="56"/>
      <c r="J9" s="56"/>
      <c r="K9" s="56"/>
      <c r="L9" s="114"/>
    </row>
    <row r="10" spans="2:12">
      <c r="B10" s="60" t="s">
        <v>232</v>
      </c>
      <c r="C10" s="56" t="s">
        <v>545</v>
      </c>
      <c r="D10" s="56"/>
      <c r="E10" s="9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spans="2:12">
      <c r="B13" s="66" t="s">
        <v>233</v>
      </c>
      <c r="C13" s="64"/>
      <c r="D13" s="67" t="s">
        <v>22</v>
      </c>
      <c r="E13" s="67"/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68">
        <v>1</v>
      </c>
      <c r="E14" s="67"/>
      <c r="F14" s="68"/>
      <c r="G14" s="68"/>
      <c r="H14" s="64"/>
      <c r="I14" s="57" t="s">
        <v>248</v>
      </c>
      <c r="J14" s="64"/>
      <c r="K14" s="119">
        <v>4252.88712258065</v>
      </c>
      <c r="L14" s="120" t="s">
        <v>28</v>
      </c>
    </row>
    <row r="15" spans="2:12">
      <c r="B15" s="66" t="s">
        <v>54</v>
      </c>
      <c r="C15" s="64" t="s">
        <v>55</v>
      </c>
      <c r="D15" s="69" t="s">
        <v>933</v>
      </c>
      <c r="E15" s="67"/>
      <c r="F15" s="69"/>
      <c r="G15" s="69"/>
      <c r="H15" s="98" t="s">
        <v>933</v>
      </c>
      <c r="I15" s="57" t="s">
        <v>249</v>
      </c>
      <c r="J15" s="64"/>
      <c r="K15" s="121">
        <v>11.6517455413168</v>
      </c>
      <c r="L15" s="120" t="s">
        <v>56</v>
      </c>
    </row>
    <row r="16" spans="2:12">
      <c r="B16" s="66" t="s">
        <v>234</v>
      </c>
      <c r="C16" s="64" t="s">
        <v>55</v>
      </c>
      <c r="D16" s="69">
        <v>847</v>
      </c>
      <c r="E16" s="67"/>
      <c r="F16" s="69"/>
      <c r="G16" s="69"/>
      <c r="H16" s="98">
        <v>847</v>
      </c>
      <c r="I16" s="56" t="s">
        <v>157</v>
      </c>
      <c r="J16" s="56"/>
      <c r="K16" s="122">
        <v>14.0182958732805</v>
      </c>
      <c r="L16" s="123" t="s">
        <v>59</v>
      </c>
    </row>
    <row r="17" spans="2:12">
      <c r="B17" s="57" t="s">
        <v>61</v>
      </c>
      <c r="C17" s="56" t="s">
        <v>62</v>
      </c>
      <c r="D17" s="70" t="s">
        <v>63</v>
      </c>
      <c r="E17" s="67"/>
      <c r="F17" s="70"/>
      <c r="G17" s="70"/>
      <c r="H17" s="98"/>
      <c r="I17" s="56" t="s">
        <v>437</v>
      </c>
      <c r="J17" s="56"/>
      <c r="K17" s="124">
        <v>9.70888688316393</v>
      </c>
      <c r="L17" s="123" t="s">
        <v>59</v>
      </c>
    </row>
    <row r="18" spans="2:12">
      <c r="B18" s="57" t="s">
        <v>66</v>
      </c>
      <c r="C18" s="56" t="s">
        <v>55</v>
      </c>
      <c r="D18" s="71">
        <v>654</v>
      </c>
      <c r="E18" s="67"/>
      <c r="F18" s="71"/>
      <c r="G18" s="71"/>
      <c r="H18" s="98">
        <v>654</v>
      </c>
      <c r="I18" s="56" t="s">
        <v>58</v>
      </c>
      <c r="J18" s="56"/>
      <c r="K18" s="124">
        <v>5.06692262900316</v>
      </c>
      <c r="L18" s="123" t="s">
        <v>59</v>
      </c>
    </row>
    <row r="19" spans="2:12">
      <c r="B19" s="57"/>
      <c r="C19" s="56"/>
      <c r="D19" s="70"/>
      <c r="E19" s="159"/>
      <c r="F19" s="70"/>
      <c r="G19" s="70"/>
      <c r="H19" s="100"/>
      <c r="I19" s="56" t="s">
        <v>155</v>
      </c>
      <c r="J19" s="56"/>
      <c r="K19" s="124">
        <v>71.4770910297621</v>
      </c>
      <c r="L19" s="123" t="s">
        <v>59</v>
      </c>
    </row>
    <row r="20" ht="17.6" spans="2:12">
      <c r="B20" s="72" t="s">
        <v>69</v>
      </c>
      <c r="C20" s="73"/>
      <c r="D20" s="74"/>
      <c r="E20" s="67"/>
      <c r="F20" s="74"/>
      <c r="G20" s="74"/>
      <c r="H20" s="101"/>
      <c r="I20" s="56" t="s">
        <v>155</v>
      </c>
      <c r="J20" s="56"/>
      <c r="K20" s="124">
        <v>6.40487255243005</v>
      </c>
      <c r="L20" s="123" t="s">
        <v>59</v>
      </c>
    </row>
    <row r="21" spans="2:12">
      <c r="B21" s="66" t="s">
        <v>71</v>
      </c>
      <c r="C21" s="64" t="s">
        <v>59</v>
      </c>
      <c r="D21" s="75">
        <v>10.4933206234155</v>
      </c>
      <c r="E21" s="67"/>
      <c r="F21" s="77"/>
      <c r="G21" s="77"/>
      <c r="H21" s="102"/>
      <c r="I21" s="56"/>
      <c r="J21" s="56"/>
      <c r="K21" s="124"/>
      <c r="L21" s="123" t="s">
        <v>59</v>
      </c>
    </row>
    <row r="22" spans="2:12">
      <c r="B22" s="66" t="s">
        <v>73</v>
      </c>
      <c r="C22" s="64" t="s">
        <v>59</v>
      </c>
      <c r="D22" s="75">
        <v>68.8964774776296</v>
      </c>
      <c r="E22" s="67"/>
      <c r="F22" s="77"/>
      <c r="G22" s="77"/>
      <c r="H22" s="78"/>
      <c r="I22" s="57"/>
      <c r="J22" s="56"/>
      <c r="K22" s="124"/>
      <c r="L22" s="123" t="s">
        <v>59</v>
      </c>
    </row>
    <row r="23" ht="18" spans="2:12">
      <c r="B23" s="66" t="s">
        <v>74</v>
      </c>
      <c r="C23" s="76" t="s">
        <v>75</v>
      </c>
      <c r="D23" s="77"/>
      <c r="E23" s="67"/>
      <c r="F23" s="77"/>
      <c r="G23" s="78"/>
      <c r="H23" s="103" t="s">
        <v>267</v>
      </c>
      <c r="I23" s="125" t="s">
        <v>76</v>
      </c>
      <c r="J23" s="56"/>
      <c r="K23" s="126"/>
      <c r="L23" s="123"/>
    </row>
    <row r="24" ht="18" spans="2:12">
      <c r="B24" s="66" t="s">
        <v>78</v>
      </c>
      <c r="C24" s="56" t="s">
        <v>79</v>
      </c>
      <c r="D24" s="77"/>
      <c r="E24" s="67"/>
      <c r="F24" s="77"/>
      <c r="G24" s="78"/>
      <c r="H24" s="104" t="s">
        <v>311</v>
      </c>
      <c r="I24" s="127" t="s">
        <v>80</v>
      </c>
      <c r="J24" s="56"/>
      <c r="K24" s="122">
        <v>17.8185779320711</v>
      </c>
      <c r="L24" s="123" t="s">
        <v>59</v>
      </c>
    </row>
    <row r="25" ht="18" spans="2:12">
      <c r="B25" s="57" t="s">
        <v>81</v>
      </c>
      <c r="C25" s="56" t="s">
        <v>59</v>
      </c>
      <c r="D25" s="77"/>
      <c r="E25" s="67"/>
      <c r="F25" s="77"/>
      <c r="G25" s="77"/>
      <c r="H25" s="104" t="s">
        <v>934</v>
      </c>
      <c r="I25" s="128" t="s">
        <v>83</v>
      </c>
      <c r="J25" s="56"/>
      <c r="K25" s="122">
        <v>78.1042004225693</v>
      </c>
      <c r="L25" s="123" t="s">
        <v>59</v>
      </c>
    </row>
    <row r="26" ht="18" spans="2:12">
      <c r="B26" s="57" t="s">
        <v>84</v>
      </c>
      <c r="C26" s="56" t="s">
        <v>59</v>
      </c>
      <c r="D26" s="78"/>
      <c r="E26" s="67"/>
      <c r="F26" s="78"/>
      <c r="G26" s="78"/>
      <c r="H26" s="105" t="s">
        <v>935</v>
      </c>
      <c r="I26" s="57" t="s">
        <v>86</v>
      </c>
      <c r="J26" s="56"/>
      <c r="K26" s="122">
        <v>59.7433585222864</v>
      </c>
      <c r="L26" s="123" t="s">
        <v>59</v>
      </c>
    </row>
    <row r="27" ht="18" spans="2:12">
      <c r="B27" s="57" t="s">
        <v>87</v>
      </c>
      <c r="C27" s="56" t="s">
        <v>88</v>
      </c>
      <c r="D27" s="78"/>
      <c r="E27" s="67"/>
      <c r="F27" s="78"/>
      <c r="G27" s="78"/>
      <c r="H27" s="103" t="s">
        <v>298</v>
      </c>
      <c r="I27" s="129"/>
      <c r="J27" s="130"/>
      <c r="K27" s="131"/>
      <c r="L27" s="132"/>
    </row>
    <row r="28" ht="18" spans="2:12">
      <c r="B28" s="57" t="s">
        <v>90</v>
      </c>
      <c r="C28" s="56" t="s">
        <v>91</v>
      </c>
      <c r="D28" s="78"/>
      <c r="E28" s="67"/>
      <c r="F28" s="78"/>
      <c r="G28" s="78"/>
      <c r="H28" s="103" t="s">
        <v>429</v>
      </c>
      <c r="I28" s="63" t="s">
        <v>93</v>
      </c>
      <c r="J28" s="133"/>
      <c r="K28" s="134"/>
      <c r="L28" s="120"/>
    </row>
    <row r="29" spans="2:12">
      <c r="B29" s="66" t="s">
        <v>32</v>
      </c>
      <c r="C29" s="56" t="s">
        <v>62</v>
      </c>
      <c r="D29" s="75">
        <v>8.19583333333333</v>
      </c>
      <c r="E29" s="67"/>
      <c r="F29" s="75"/>
      <c r="G29" s="80"/>
      <c r="H29" s="78"/>
      <c r="I29" s="66" t="s">
        <v>26</v>
      </c>
      <c r="J29" s="64"/>
      <c r="K29" s="134">
        <v>1</v>
      </c>
      <c r="L29" s="120"/>
    </row>
    <row r="30" spans="2:12">
      <c r="B30" s="66" t="s">
        <v>94</v>
      </c>
      <c r="C30" s="56" t="s">
        <v>95</v>
      </c>
      <c r="D30" s="77">
        <v>41.9305379458462</v>
      </c>
      <c r="E30" s="67"/>
      <c r="F30" s="77"/>
      <c r="G30" s="77"/>
      <c r="H30" s="78"/>
      <c r="I30" s="66" t="s">
        <v>96</v>
      </c>
      <c r="J30" s="92"/>
      <c r="K30" s="135">
        <v>1742</v>
      </c>
      <c r="L30" s="120" t="s">
        <v>55</v>
      </c>
    </row>
    <row r="31" ht="18" spans="2:12">
      <c r="B31" s="66" t="s">
        <v>97</v>
      </c>
      <c r="C31" s="64" t="s">
        <v>98</v>
      </c>
      <c r="D31" s="75">
        <v>6.26038091666667</v>
      </c>
      <c r="E31" s="67"/>
      <c r="F31" s="75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8" spans="2:12">
      <c r="B32" s="66" t="s">
        <v>100</v>
      </c>
      <c r="C32" s="64" t="s">
        <v>98</v>
      </c>
      <c r="D32" s="75">
        <v>7.62291666666667</v>
      </c>
      <c r="E32" s="67"/>
      <c r="F32" s="75"/>
      <c r="G32" s="80"/>
      <c r="H32" s="78"/>
      <c r="I32" s="66" t="s">
        <v>66</v>
      </c>
      <c r="J32" s="92"/>
      <c r="K32" s="135">
        <v>654</v>
      </c>
      <c r="L32" s="120" t="s">
        <v>55</v>
      </c>
    </row>
    <row r="33" spans="2:12">
      <c r="B33" s="66" t="s">
        <v>101</v>
      </c>
      <c r="C33" s="64" t="s">
        <v>102</v>
      </c>
      <c r="D33" s="77">
        <v>586.953333333333</v>
      </c>
      <c r="E33" s="67"/>
      <c r="F33" s="80"/>
      <c r="G33" s="80"/>
      <c r="H33" s="78"/>
      <c r="I33" s="57" t="s">
        <v>103</v>
      </c>
      <c r="J33" s="64"/>
      <c r="K33" s="137">
        <v>7.2</v>
      </c>
      <c r="L33" s="120" t="s">
        <v>59</v>
      </c>
    </row>
    <row r="34" spans="2:12">
      <c r="B34" s="66" t="s">
        <v>104</v>
      </c>
      <c r="C34" s="64" t="s">
        <v>62</v>
      </c>
      <c r="D34" s="80">
        <v>0.228590909090909</v>
      </c>
      <c r="E34" s="67"/>
      <c r="F34" s="80"/>
      <c r="G34" s="80"/>
      <c r="H34" s="78"/>
      <c r="I34" s="66" t="s">
        <v>105</v>
      </c>
      <c r="J34" s="64"/>
      <c r="K34" s="137">
        <v>8.85673877576791</v>
      </c>
      <c r="L34" s="120" t="s">
        <v>59</v>
      </c>
    </row>
    <row r="35" spans="2:12"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66.5192877736387</v>
      </c>
      <c r="L35" s="120" t="s">
        <v>59</v>
      </c>
    </row>
    <row r="36" spans="2:12"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7.6" spans="2:12"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13</v>
      </c>
      <c r="L38" s="120"/>
    </row>
    <row r="39" spans="2:12">
      <c r="B39" s="85" t="s">
        <v>111</v>
      </c>
      <c r="C39" s="64" t="s">
        <v>59</v>
      </c>
      <c r="D39" s="78">
        <v>68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8" spans="2:12"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/>
    </row>
    <row r="41" ht="18" spans="2:12"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145"/>
    </row>
    <row r="42" ht="18" spans="2:12"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146"/>
    </row>
    <row r="43" ht="18" spans="2:12">
      <c r="B43" s="66" t="s">
        <v>121</v>
      </c>
      <c r="C43" s="64" t="s">
        <v>122</v>
      </c>
      <c r="D43" s="77">
        <v>75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/>
    </row>
    <row r="44" spans="2:12">
      <c r="B44" s="66" t="s">
        <v>125</v>
      </c>
      <c r="C44" s="64" t="s">
        <v>122</v>
      </c>
      <c r="D44" s="77" t="s">
        <v>72</v>
      </c>
      <c r="E44" s="77"/>
      <c r="F44" s="77"/>
      <c r="G44" s="78"/>
      <c r="H44" s="102"/>
      <c r="I44" s="148" t="s">
        <v>126</v>
      </c>
      <c r="J44" s="64"/>
      <c r="K44" s="134"/>
      <c r="L44" s="120"/>
    </row>
    <row r="45" spans="2:12">
      <c r="B45" s="66" t="s">
        <v>127</v>
      </c>
      <c r="C45" s="64" t="s">
        <v>59</v>
      </c>
      <c r="D45" s="78">
        <v>38.5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</row>
    <row r="46" spans="2:16">
      <c r="B46" s="66" t="s">
        <v>130</v>
      </c>
      <c r="C46" s="64" t="s">
        <v>59</v>
      </c>
      <c r="D46" s="78"/>
      <c r="E46" s="78"/>
      <c r="F46" s="78"/>
      <c r="G46" s="78"/>
      <c r="H46" s="102"/>
      <c r="I46" s="66"/>
      <c r="J46" s="64" t="s">
        <v>131</v>
      </c>
      <c r="K46" s="79">
        <v>78.6</v>
      </c>
      <c r="L46" s="147">
        <f>K46*0.577</f>
        <v>45.3522</v>
      </c>
      <c r="P46">
        <f>L46*K15</f>
        <v>528.432294138909</v>
      </c>
    </row>
    <row r="47" spans="2:16"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9">
        <f>K46/K24*100/K25*100</f>
        <v>564.774545120651</v>
      </c>
      <c r="L47" s="147">
        <f>K47*0.577</f>
        <v>325.874912534615</v>
      </c>
      <c r="P47">
        <f>P46*9.971</f>
        <v>5268.99840485906</v>
      </c>
    </row>
    <row r="48" spans="2:16">
      <c r="B48" s="66" t="s">
        <v>135</v>
      </c>
      <c r="C48" s="64" t="s">
        <v>240</v>
      </c>
      <c r="D48" s="69">
        <v>8748.2</v>
      </c>
      <c r="E48" s="69"/>
      <c r="F48" s="78"/>
      <c r="G48" s="78" t="s">
        <v>77</v>
      </c>
      <c r="H48" s="102"/>
      <c r="I48" s="148" t="s">
        <v>137</v>
      </c>
      <c r="J48" s="64"/>
      <c r="K48" s="134"/>
      <c r="L48" s="120"/>
      <c r="P48">
        <f>P47*0.4</f>
        <v>2107.59936194363</v>
      </c>
    </row>
    <row r="49" spans="2:16">
      <c r="B49" s="57" t="s">
        <v>138</v>
      </c>
      <c r="C49" s="64" t="s">
        <v>240</v>
      </c>
      <c r="D49" s="69">
        <v>8763.16</v>
      </c>
      <c r="E49" s="69"/>
      <c r="F49" s="78"/>
      <c r="G49" s="69"/>
      <c r="H49" s="98"/>
      <c r="I49" s="66"/>
      <c r="J49" s="64" t="s">
        <v>139</v>
      </c>
      <c r="K49" s="150">
        <v>1836.82733333333</v>
      </c>
      <c r="L49" s="231"/>
      <c r="P49">
        <f>P48/24</f>
        <v>87.8166400809844</v>
      </c>
    </row>
    <row r="50" spans="2:12">
      <c r="B50" s="57" t="s">
        <v>140</v>
      </c>
      <c r="C50" s="64" t="s">
        <v>59</v>
      </c>
      <c r="D50" s="77">
        <v>100.036073059361</v>
      </c>
      <c r="E50" s="78"/>
      <c r="F50" s="78"/>
      <c r="G50" s="78"/>
      <c r="H50" s="102"/>
      <c r="I50" s="66"/>
      <c r="J50" s="64" t="s">
        <v>141</v>
      </c>
      <c r="K50" s="150">
        <v>148.154833880022</v>
      </c>
      <c r="L50" s="120"/>
    </row>
    <row r="51" spans="2:12"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</row>
    <row r="52" spans="2:12"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</row>
    <row r="53" ht="17.6" spans="2:12"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</row>
    <row r="54" spans="2:12">
      <c r="B54" s="66"/>
      <c r="C54" s="78"/>
      <c r="D54" s="92"/>
      <c r="E54" s="92"/>
      <c r="F54" s="64"/>
      <c r="G54" s="64"/>
      <c r="H54" s="64"/>
      <c r="I54" s="78"/>
      <c r="J54" s="64"/>
      <c r="K54" s="64"/>
      <c r="L54" s="114"/>
    </row>
    <row r="55" spans="2:12">
      <c r="B55" s="66" t="s">
        <v>506</v>
      </c>
      <c r="C55" s="69"/>
      <c r="D55" s="69"/>
      <c r="E55" s="111"/>
      <c r="F55" s="64"/>
      <c r="G55" s="64" t="s">
        <v>752</v>
      </c>
      <c r="H55" s="64"/>
      <c r="I55" s="69"/>
      <c r="J55" s="69"/>
      <c r="K55" s="111"/>
      <c r="L55" s="114"/>
    </row>
    <row r="56" spans="2:12">
      <c r="B56" s="66"/>
      <c r="C56" s="69"/>
      <c r="D56" s="69"/>
      <c r="E56" s="111"/>
      <c r="F56" s="64"/>
      <c r="G56" s="64" t="s">
        <v>753</v>
      </c>
      <c r="H56" s="64"/>
      <c r="I56" s="69"/>
      <c r="J56" s="69"/>
      <c r="K56" s="111"/>
      <c r="L56" s="114"/>
    </row>
    <row r="57" spans="2:12"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60" spans="4:7">
      <c r="D60" t="s">
        <v>77</v>
      </c>
      <c r="G60" t="s">
        <v>77</v>
      </c>
    </row>
  </sheetData>
  <mergeCells count="1">
    <mergeCell ref="B2:L2"/>
  </mergeCells>
  <pageMargins left="0.7" right="0.7" top="0.787401575" bottom="0.787401575" header="0.3" footer="0.3"/>
  <headerFooter/>
  <ignoredErrors>
    <ignoredError sqref="D15 H15" numberStoredAsText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149998474074526"/>
  </sheetPr>
  <dimension ref="B2:H55"/>
  <sheetViews>
    <sheetView zoomScale="85" zoomScaleNormal="85" workbookViewId="0">
      <selection activeCell="A1" sqref="A1"/>
    </sheetView>
  </sheetViews>
  <sheetFormatPr defaultColWidth="11.5" defaultRowHeight="16.8" outlineLevelCol="7"/>
  <sheetData>
    <row r="2" ht="34" spans="2:8">
      <c r="B2" t="s">
        <v>154</v>
      </c>
      <c r="C2" t="s">
        <v>155</v>
      </c>
      <c r="D2" t="s">
        <v>155</v>
      </c>
      <c r="E2" t="s">
        <v>58</v>
      </c>
      <c r="F2" t="s">
        <v>157</v>
      </c>
      <c r="G2" t="s">
        <v>437</v>
      </c>
      <c r="H2" s="48" t="s">
        <v>661</v>
      </c>
    </row>
    <row r="3" spans="3:8">
      <c r="C3" t="s">
        <v>59</v>
      </c>
      <c r="D3" t="s">
        <v>59</v>
      </c>
      <c r="E3" t="s">
        <v>59</v>
      </c>
      <c r="F3" t="s">
        <v>59</v>
      </c>
      <c r="G3" t="s">
        <v>59</v>
      </c>
      <c r="H3" t="s">
        <v>925</v>
      </c>
    </row>
    <row r="4" spans="2:8">
      <c r="B4" t="s">
        <v>177</v>
      </c>
      <c r="C4">
        <v>1.08384497191566</v>
      </c>
      <c r="D4">
        <v>71.649687394767</v>
      </c>
      <c r="E4">
        <v>1.75806030003379</v>
      </c>
      <c r="F4">
        <v>15.3405504657346</v>
      </c>
      <c r="G4">
        <v>10.1678568675489</v>
      </c>
      <c r="H4">
        <v>11.50226</v>
      </c>
    </row>
    <row r="5" spans="2:8">
      <c r="B5" t="s">
        <v>166</v>
      </c>
      <c r="C5">
        <v>5.18303375712407</v>
      </c>
      <c r="D5">
        <v>63.2617273125822</v>
      </c>
      <c r="E5">
        <v>5.04110039456379</v>
      </c>
      <c r="F5">
        <v>19.2966352476984</v>
      </c>
      <c r="G5">
        <v>7.21750328803157</v>
      </c>
      <c r="H5">
        <v>11.7729032258064</v>
      </c>
    </row>
    <row r="6" spans="2:8">
      <c r="B6" t="s">
        <v>167</v>
      </c>
      <c r="C6">
        <v>6.09104662221762</v>
      </c>
      <c r="D6">
        <v>65.2420304638568</v>
      </c>
      <c r="E6">
        <v>3.97331086241986</v>
      </c>
      <c r="F6">
        <v>14.4976814550902</v>
      </c>
      <c r="G6">
        <v>10.1959305964155</v>
      </c>
      <c r="H6">
        <v>13.5286</v>
      </c>
    </row>
    <row r="7" spans="2:8">
      <c r="B7" t="s">
        <v>168</v>
      </c>
      <c r="C7">
        <v>6.46976900039791</v>
      </c>
      <c r="D7">
        <v>65.2029361871453</v>
      </c>
      <c r="E7">
        <v>4.81423694737063</v>
      </c>
      <c r="F7">
        <v>13.0547236591342</v>
      </c>
      <c r="G7">
        <v>10.458334205952</v>
      </c>
      <c r="H7">
        <v>12.3223225806452</v>
      </c>
    </row>
    <row r="8" spans="2:8">
      <c r="B8" t="s">
        <v>169</v>
      </c>
      <c r="C8">
        <v>5.70143385039783</v>
      </c>
      <c r="D8">
        <v>65.7867649329395</v>
      </c>
      <c r="E8">
        <v>4.02594929542671</v>
      </c>
      <c r="F8">
        <v>12.2729050653107</v>
      </c>
      <c r="G8">
        <v>12.2129468559253</v>
      </c>
      <c r="H8">
        <v>12.5356129032258</v>
      </c>
    </row>
    <row r="9" spans="2:8">
      <c r="B9" t="s">
        <v>170</v>
      </c>
      <c r="C9">
        <v>7.31198185304204</v>
      </c>
      <c r="D9">
        <v>67.2625637978991</v>
      </c>
      <c r="E9">
        <v>6.20561151467689</v>
      </c>
      <c r="F9">
        <v>10.6864518916583</v>
      </c>
      <c r="G9">
        <v>8.53339094272366</v>
      </c>
      <c r="H9">
        <v>13.2253571428571</v>
      </c>
    </row>
    <row r="10" spans="2:8">
      <c r="B10" t="s">
        <v>171</v>
      </c>
      <c r="C10">
        <v>10.972797439759</v>
      </c>
      <c r="D10">
        <v>61.1139871987952</v>
      </c>
      <c r="E10">
        <v>5.36050451807229</v>
      </c>
      <c r="F10">
        <v>15.4791039156627</v>
      </c>
      <c r="G10">
        <v>7.07360692771084</v>
      </c>
      <c r="H10">
        <v>13.7083870967742</v>
      </c>
    </row>
    <row r="11" spans="2:8">
      <c r="B11" t="s">
        <v>172</v>
      </c>
      <c r="C11">
        <v>11.848050964752</v>
      </c>
      <c r="D11">
        <v>65.1864640550929</v>
      </c>
      <c r="E11">
        <v>6.05109978346732</v>
      </c>
      <c r="F11">
        <v>9.09702496636269</v>
      </c>
      <c r="G11">
        <v>7.81736023032518</v>
      </c>
      <c r="H11">
        <v>13.8239333333333</v>
      </c>
    </row>
    <row r="12" spans="2:8">
      <c r="B12" t="s">
        <v>173</v>
      </c>
      <c r="C12">
        <v>4.07171922685656</v>
      </c>
      <c r="D12">
        <v>65.9003051881994</v>
      </c>
      <c r="E12">
        <v>5.53458799593082</v>
      </c>
      <c r="F12">
        <v>14.8774160732452</v>
      </c>
      <c r="G12">
        <v>9.61597151576805</v>
      </c>
      <c r="H12">
        <v>12.6838709677419</v>
      </c>
    </row>
    <row r="13" spans="2:8">
      <c r="B13" t="s">
        <v>174</v>
      </c>
      <c r="C13">
        <v>2.46316149812501</v>
      </c>
      <c r="D13">
        <v>77.638601459536</v>
      </c>
      <c r="E13">
        <v>3.71730437082795</v>
      </c>
      <c r="F13">
        <v>9.47453592045684</v>
      </c>
      <c r="G13">
        <v>6.70639675105419</v>
      </c>
      <c r="H13">
        <v>10.7111666666667</v>
      </c>
    </row>
    <row r="14" spans="2:8">
      <c r="B14" t="s">
        <v>175</v>
      </c>
      <c r="C14">
        <v>4.03080398844308</v>
      </c>
      <c r="D14">
        <v>67.4135945951817</v>
      </c>
      <c r="E14">
        <v>3.37936914821976</v>
      </c>
      <c r="F14">
        <v>15.7101970325636</v>
      </c>
      <c r="G14">
        <v>9.46603523559186</v>
      </c>
      <c r="H14">
        <v>11.8794838709677</v>
      </c>
    </row>
    <row r="15" spans="2:8">
      <c r="B15" t="s">
        <v>176</v>
      </c>
      <c r="C15">
        <v>4.62404627122816</v>
      </c>
      <c r="D15">
        <v>71.6611102409773</v>
      </c>
      <c r="E15">
        <v>6.67274517262211</v>
      </c>
      <c r="F15">
        <v>7.42370169825252</v>
      </c>
      <c r="G15">
        <v>9.61839661691988</v>
      </c>
      <c r="H15">
        <v>11.5336774193548</v>
      </c>
    </row>
    <row r="23" spans="2:3">
      <c r="B23" t="s">
        <v>104</v>
      </c>
      <c r="C23" t="s">
        <v>22</v>
      </c>
    </row>
    <row r="24" spans="3:3">
      <c r="C24" t="s">
        <v>62</v>
      </c>
    </row>
    <row r="26" spans="2:3">
      <c r="B26" t="s">
        <v>177</v>
      </c>
      <c r="C26">
        <v>0.3105</v>
      </c>
    </row>
    <row r="27" spans="2:3">
      <c r="B27" t="s">
        <v>166</v>
      </c>
      <c r="C27">
        <v>0.2355</v>
      </c>
    </row>
    <row r="28" spans="2:3">
      <c r="B28" t="s">
        <v>167</v>
      </c>
      <c r="C28">
        <v>0.2675</v>
      </c>
    </row>
    <row r="29" spans="2:3">
      <c r="B29" t="s">
        <v>168</v>
      </c>
      <c r="C29">
        <v>0.169</v>
      </c>
    </row>
    <row r="30" spans="2:3">
      <c r="B30" t="s">
        <v>169</v>
      </c>
      <c r="C30">
        <v>0.218</v>
      </c>
    </row>
    <row r="31" spans="2:3">
      <c r="B31" t="s">
        <v>170</v>
      </c>
      <c r="C31">
        <v>0.1985</v>
      </c>
    </row>
    <row r="32" spans="2:3">
      <c r="B32" t="s">
        <v>171</v>
      </c>
      <c r="C32">
        <v>0.241</v>
      </c>
    </row>
    <row r="33" spans="2:3">
      <c r="B33" t="s">
        <v>172</v>
      </c>
      <c r="C33">
        <v>0.264</v>
      </c>
    </row>
    <row r="34" spans="2:3">
      <c r="B34" t="s">
        <v>173</v>
      </c>
      <c r="C34">
        <v>0.1855</v>
      </c>
    </row>
    <row r="35" spans="2:3">
      <c r="B35" t="s">
        <v>174</v>
      </c>
      <c r="C35">
        <v>0.2125</v>
      </c>
    </row>
    <row r="36" spans="2:3">
      <c r="B36" t="s">
        <v>175</v>
      </c>
      <c r="C36">
        <v>0.2125</v>
      </c>
    </row>
    <row r="37" spans="2:3">
      <c r="B37" t="s">
        <v>176</v>
      </c>
      <c r="C37">
        <v>0.2325</v>
      </c>
    </row>
    <row r="42" spans="3:8"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184</v>
      </c>
    </row>
    <row r="43" spans="2:6">
      <c r="B43" t="s">
        <v>154</v>
      </c>
      <c r="C43" t="s">
        <v>185</v>
      </c>
      <c r="D43" t="s">
        <v>185</v>
      </c>
      <c r="E43" t="s">
        <v>122</v>
      </c>
      <c r="F43" t="s">
        <v>122</v>
      </c>
    </row>
    <row r="44" spans="2:8">
      <c r="B44" t="s">
        <v>177</v>
      </c>
      <c r="C44">
        <v>0</v>
      </c>
      <c r="D44">
        <v>78.5362222222221</v>
      </c>
      <c r="E44" t="s">
        <v>936</v>
      </c>
      <c r="F44">
        <v>0</v>
      </c>
      <c r="G44">
        <v>110.226276803119</v>
      </c>
      <c r="H44" t="e">
        <v>#DIV/0!</v>
      </c>
    </row>
    <row r="45" spans="2:8">
      <c r="B45" t="s">
        <v>166</v>
      </c>
      <c r="C45">
        <v>0</v>
      </c>
      <c r="D45">
        <v>76.4697777777779</v>
      </c>
      <c r="E45" t="s">
        <v>936</v>
      </c>
      <c r="F45">
        <v>0</v>
      </c>
      <c r="G45">
        <v>107.326003898636</v>
      </c>
      <c r="H45" t="e">
        <v>#DIV/0!</v>
      </c>
    </row>
    <row r="46" spans="2:8">
      <c r="B46" t="s">
        <v>167</v>
      </c>
      <c r="C46">
        <v>0</v>
      </c>
      <c r="D46">
        <v>76.1911666666667</v>
      </c>
      <c r="E46" t="s">
        <v>936</v>
      </c>
      <c r="F46">
        <v>0</v>
      </c>
      <c r="G46">
        <v>106.934970760234</v>
      </c>
      <c r="H46" t="e">
        <v>#DIV/0!</v>
      </c>
    </row>
    <row r="47" spans="2:8">
      <c r="B47" t="s">
        <v>168</v>
      </c>
      <c r="C47">
        <v>0</v>
      </c>
      <c r="D47">
        <v>76.4036666666667</v>
      </c>
      <c r="E47" t="s">
        <v>936</v>
      </c>
      <c r="F47">
        <v>0</v>
      </c>
      <c r="G47">
        <v>107.233216374269</v>
      </c>
      <c r="H47" t="e">
        <v>#DIV/0!</v>
      </c>
    </row>
    <row r="48" spans="2:8">
      <c r="B48" t="s">
        <v>169</v>
      </c>
      <c r="C48">
        <v>0</v>
      </c>
      <c r="D48">
        <v>76.310875</v>
      </c>
      <c r="E48" t="s">
        <v>936</v>
      </c>
      <c r="F48">
        <v>0</v>
      </c>
      <c r="G48">
        <v>107.10298245614</v>
      </c>
      <c r="H48" t="e">
        <v>#DIV/0!</v>
      </c>
    </row>
    <row r="49" spans="2:8">
      <c r="B49" t="s">
        <v>170</v>
      </c>
      <c r="C49">
        <v>0</v>
      </c>
      <c r="D49">
        <v>78.3303333333333</v>
      </c>
      <c r="E49" t="s">
        <v>936</v>
      </c>
      <c r="F49">
        <v>0</v>
      </c>
      <c r="G49">
        <v>109.93730994152</v>
      </c>
      <c r="H49" t="e">
        <v>#DIV/0!</v>
      </c>
    </row>
    <row r="50" spans="2:8">
      <c r="B50" t="s">
        <v>171</v>
      </c>
      <c r="C50">
        <v>0</v>
      </c>
      <c r="D50">
        <v>76.31725</v>
      </c>
      <c r="E50" t="s">
        <v>936</v>
      </c>
      <c r="F50">
        <v>0</v>
      </c>
      <c r="G50">
        <v>107.111929824561</v>
      </c>
      <c r="H50" t="e">
        <v>#DIV/0!</v>
      </c>
    </row>
    <row r="51" spans="2:8">
      <c r="B51" t="s">
        <v>172</v>
      </c>
      <c r="C51">
        <v>0</v>
      </c>
      <c r="D51">
        <v>76.1479583333333</v>
      </c>
      <c r="E51" t="s">
        <v>936</v>
      </c>
      <c r="F51">
        <v>0</v>
      </c>
      <c r="G51">
        <v>106.87432748538</v>
      </c>
      <c r="H51" t="e">
        <v>#DIV/0!</v>
      </c>
    </row>
    <row r="52" spans="2:8">
      <c r="B52" t="s">
        <v>173</v>
      </c>
      <c r="C52">
        <v>0</v>
      </c>
      <c r="D52">
        <v>74.88075</v>
      </c>
      <c r="E52" t="s">
        <v>936</v>
      </c>
      <c r="F52">
        <v>0</v>
      </c>
      <c r="G52">
        <v>105.095789473684</v>
      </c>
      <c r="H52" t="e">
        <v>#DIV/0!</v>
      </c>
    </row>
    <row r="53" spans="2:8">
      <c r="B53" t="s">
        <v>174</v>
      </c>
      <c r="C53">
        <v>0</v>
      </c>
      <c r="D53">
        <v>76.3455833333333</v>
      </c>
      <c r="E53" t="s">
        <v>936</v>
      </c>
      <c r="F53">
        <v>0</v>
      </c>
      <c r="G53">
        <v>107.151695906433</v>
      </c>
      <c r="H53" t="e">
        <v>#DIV/0!</v>
      </c>
    </row>
    <row r="54" spans="2:8">
      <c r="B54" t="s">
        <v>175</v>
      </c>
      <c r="C54">
        <v>0</v>
      </c>
      <c r="D54">
        <v>76.3370833333333</v>
      </c>
      <c r="E54" t="s">
        <v>936</v>
      </c>
      <c r="F54">
        <v>0</v>
      </c>
      <c r="G54">
        <v>107.139766081871</v>
      </c>
      <c r="H54" t="e">
        <v>#DIV/0!</v>
      </c>
    </row>
    <row r="55" spans="2:8">
      <c r="B55" t="s">
        <v>176</v>
      </c>
      <c r="C55">
        <v>0</v>
      </c>
      <c r="D55">
        <v>76.143</v>
      </c>
      <c r="E55" t="s">
        <v>936</v>
      </c>
      <c r="F55">
        <v>0</v>
      </c>
      <c r="G55">
        <v>106.867368421053</v>
      </c>
      <c r="H55" t="e">
        <v>#DIV/0!</v>
      </c>
    </row>
  </sheetData>
  <pageMargins left="0.7" right="0.7" top="0.787401575" bottom="0.787401575" header="0.3" footer="0.3"/>
  <headerFooter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149998474074526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932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75</v>
      </c>
      <c r="G3" s="22"/>
      <c r="H3" s="23" t="s">
        <v>187</v>
      </c>
      <c r="I3" s="5" t="s">
        <v>188</v>
      </c>
      <c r="J3" s="35">
        <v>619285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v>71</v>
      </c>
      <c r="G4" s="184"/>
      <c r="H4" s="25" t="s">
        <v>187</v>
      </c>
      <c r="I4" s="7" t="s">
        <v>191</v>
      </c>
      <c r="J4" s="37">
        <v>494283.49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100</v>
      </c>
      <c r="H6" s="27" t="s">
        <v>195</v>
      </c>
      <c r="I6" s="1"/>
      <c r="J6" s="40">
        <v>160299.25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4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160299.25</v>
      </c>
      <c r="K9" s="43" t="s">
        <v>196</v>
      </c>
      <c r="L9" s="12"/>
      <c r="N9" t="s">
        <v>77</v>
      </c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16.6496579164585</v>
      </c>
      <c r="H11" s="27" t="s">
        <v>195</v>
      </c>
      <c r="I11" s="1"/>
      <c r="J11" s="40">
        <v>18160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36</v>
      </c>
      <c r="F13" s="15" t="s">
        <v>204</v>
      </c>
      <c r="G13" s="31"/>
      <c r="H13" s="15"/>
      <c r="I13" s="15"/>
      <c r="J13" s="45">
        <v>14220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20</v>
      </c>
      <c r="F14" s="15" t="s">
        <v>204</v>
      </c>
      <c r="G14" s="31"/>
      <c r="H14" s="15"/>
      <c r="I14" s="15"/>
      <c r="J14" s="45">
        <v>3940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937</v>
      </c>
      <c r="D16" s="1"/>
      <c r="E16" s="1"/>
      <c r="F16" s="1"/>
      <c r="G16" s="26">
        <v>6.69286909637374</v>
      </c>
      <c r="H16" s="27" t="s">
        <v>195</v>
      </c>
      <c r="I16" s="1"/>
      <c r="J16" s="40">
        <v>7300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16.4312961859539</v>
      </c>
      <c r="H17" s="27" t="s">
        <v>195</v>
      </c>
      <c r="I17" s="1"/>
      <c r="J17" s="40">
        <v>17921.83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41.3725845962609</v>
      </c>
      <c r="H18" s="27" t="s">
        <v>195</v>
      </c>
      <c r="I18" s="1"/>
      <c r="J18" s="40">
        <v>45125.62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18.8535922049529</v>
      </c>
      <c r="H19" s="27" t="s">
        <v>195</v>
      </c>
      <c r="I19" s="1"/>
      <c r="J19" s="40">
        <v>20563.86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3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  <c r="M21" t="s">
        <v>77</v>
      </c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8346.14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1476.38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4942.14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673</v>
      </c>
      <c r="E29" s="15"/>
      <c r="F29" s="15"/>
      <c r="G29" s="31"/>
      <c r="H29" s="15"/>
      <c r="I29" s="15"/>
      <c r="J29" s="45">
        <v>4871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928.2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109071.31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25.884568494312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17.6124579151764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8.27211057913562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51227.94</v>
      </c>
      <c r="K37" s="43" t="s">
        <v>196</v>
      </c>
      <c r="L37" s="12"/>
    </row>
    <row r="38" ht="21.75" customHeight="1" spans="1:12">
      <c r="A38" s="1"/>
      <c r="B38" s="19" t="s">
        <v>938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675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21.75" customHeight="1" spans="1:1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B2:L61"/>
  <sheetViews>
    <sheetView zoomScale="115" zoomScaleNormal="115" workbookViewId="0">
      <selection activeCell="A1" sqref="A1"/>
    </sheetView>
  </sheetViews>
  <sheetFormatPr defaultColWidth="11.5" defaultRowHeight="16.8"/>
  <cols>
    <col min="2" max="2" width="28.3365384615385" customWidth="1"/>
    <col min="8" max="8" width="14.5" customWidth="1"/>
  </cols>
  <sheetData>
    <row r="2" ht="20.4" spans="2:12">
      <c r="B2" s="49" t="s">
        <v>939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56" t="s">
        <v>739</v>
      </c>
      <c r="D4" s="95"/>
      <c r="E4" s="95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239">
        <v>2013</v>
      </c>
      <c r="D5" s="95"/>
      <c r="E5" s="95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5" t="s">
        <v>815</v>
      </c>
      <c r="D6" s="95"/>
      <c r="E6" s="5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56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213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spans="2:12">
      <c r="B10" s="60" t="s">
        <v>232</v>
      </c>
      <c r="C10" s="56" t="s">
        <v>545</v>
      </c>
      <c r="D10" s="95"/>
      <c r="E10" s="5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spans="2:12">
      <c r="B13" s="66" t="s">
        <v>233</v>
      </c>
      <c r="C13" s="64"/>
      <c r="D13" s="67" t="s">
        <v>22</v>
      </c>
      <c r="E13" s="68"/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68">
        <v>1</v>
      </c>
      <c r="E14" s="68"/>
      <c r="F14" s="68"/>
      <c r="G14" s="68"/>
      <c r="H14" s="64"/>
      <c r="I14" s="57" t="s">
        <v>248</v>
      </c>
      <c r="J14" s="64"/>
      <c r="K14" s="119">
        <v>6180.05216903226</v>
      </c>
      <c r="L14" s="120" t="s">
        <v>28</v>
      </c>
    </row>
    <row r="15" spans="2:12">
      <c r="B15" s="66" t="s">
        <v>54</v>
      </c>
      <c r="C15" s="64" t="s">
        <v>55</v>
      </c>
      <c r="D15" s="69" t="s">
        <v>583</v>
      </c>
      <c r="E15" s="68"/>
      <c r="F15" s="69"/>
      <c r="G15" s="69"/>
      <c r="H15" s="98" t="str">
        <f>D15</f>
        <v>950</v>
      </c>
      <c r="I15" s="57" t="s">
        <v>249</v>
      </c>
      <c r="J15" s="64"/>
      <c r="K15" s="121">
        <v>16.9316497781706</v>
      </c>
      <c r="L15" s="120" t="s">
        <v>56</v>
      </c>
    </row>
    <row r="16" spans="2:12">
      <c r="B16" s="66" t="s">
        <v>234</v>
      </c>
      <c r="C16" s="64" t="s">
        <v>55</v>
      </c>
      <c r="D16" s="69">
        <v>847</v>
      </c>
      <c r="E16" s="68"/>
      <c r="F16" s="69"/>
      <c r="G16" s="69"/>
      <c r="H16" s="98">
        <f>D16</f>
        <v>847</v>
      </c>
      <c r="I16" s="56" t="s">
        <v>157</v>
      </c>
      <c r="J16" s="56"/>
      <c r="K16" s="122">
        <v>7.75559796083491</v>
      </c>
      <c r="L16" s="123" t="s">
        <v>59</v>
      </c>
    </row>
    <row r="17" spans="2:12">
      <c r="B17" s="57" t="s">
        <v>61</v>
      </c>
      <c r="C17" s="56" t="s">
        <v>62</v>
      </c>
      <c r="D17" s="70" t="s">
        <v>63</v>
      </c>
      <c r="E17" s="68"/>
      <c r="F17" s="70"/>
      <c r="G17" s="70"/>
      <c r="H17" s="98"/>
      <c r="I17" s="56" t="s">
        <v>58</v>
      </c>
      <c r="J17" s="56"/>
      <c r="K17" s="124">
        <v>0.695787006709579</v>
      </c>
      <c r="L17" s="123" t="s">
        <v>59</v>
      </c>
    </row>
    <row r="18" spans="2:12">
      <c r="B18" s="57" t="s">
        <v>66</v>
      </c>
      <c r="C18" s="56" t="s">
        <v>55</v>
      </c>
      <c r="D18" s="71" t="s">
        <v>288</v>
      </c>
      <c r="E18" s="68"/>
      <c r="F18" s="71"/>
      <c r="G18" s="71"/>
      <c r="H18" s="98" t="str">
        <f>D18</f>
        <v>0</v>
      </c>
      <c r="I18" s="56" t="s">
        <v>560</v>
      </c>
      <c r="J18" s="56"/>
      <c r="K18" s="124">
        <v>25.0192062738221</v>
      </c>
      <c r="L18" s="123" t="s">
        <v>59</v>
      </c>
    </row>
    <row r="19" spans="2:12">
      <c r="B19" s="57"/>
      <c r="C19" s="56"/>
      <c r="D19" s="70"/>
      <c r="E19" s="187"/>
      <c r="F19" s="70"/>
      <c r="G19" s="70"/>
      <c r="H19" s="100"/>
      <c r="I19" s="56" t="s">
        <v>155</v>
      </c>
      <c r="J19" s="56"/>
      <c r="K19" s="124">
        <v>64.683718367801</v>
      </c>
      <c r="L19" s="123" t="s">
        <v>59</v>
      </c>
    </row>
    <row r="20" ht="17.6" spans="2:12">
      <c r="B20" s="72" t="s">
        <v>69</v>
      </c>
      <c r="C20" s="73"/>
      <c r="D20" s="74"/>
      <c r="E20" s="68"/>
      <c r="F20" s="74"/>
      <c r="G20" s="74"/>
      <c r="H20" s="101"/>
      <c r="I20" s="56" t="s">
        <v>155</v>
      </c>
      <c r="J20" s="56"/>
      <c r="K20" s="124">
        <v>1.68040652666953</v>
      </c>
      <c r="L20" s="123" t="s">
        <v>59</v>
      </c>
    </row>
    <row r="21" spans="2:12">
      <c r="B21" s="66" t="s">
        <v>71</v>
      </c>
      <c r="C21" s="64" t="s">
        <v>59</v>
      </c>
      <c r="D21" s="75">
        <v>8.67741320706213</v>
      </c>
      <c r="E21" s="68"/>
      <c r="F21" s="77"/>
      <c r="G21" s="77"/>
      <c r="H21" s="102"/>
      <c r="I21" s="56" t="s">
        <v>222</v>
      </c>
      <c r="J21" s="56"/>
      <c r="K21" s="124">
        <v>0.448216281066403</v>
      </c>
      <c r="L21" s="123" t="s">
        <v>59</v>
      </c>
    </row>
    <row r="22" spans="2:12">
      <c r="B22" s="66" t="s">
        <v>73</v>
      </c>
      <c r="C22" s="64" t="s">
        <v>59</v>
      </c>
      <c r="D22" s="75">
        <v>69.0469708450303</v>
      </c>
      <c r="E22" s="68"/>
      <c r="F22" s="77"/>
      <c r="G22" s="77"/>
      <c r="H22" s="78"/>
      <c r="I22" s="57"/>
      <c r="J22" s="56"/>
      <c r="K22" s="124"/>
      <c r="L22" s="123"/>
    </row>
    <row r="23" ht="18" spans="2:12">
      <c r="B23" s="66" t="s">
        <v>74</v>
      </c>
      <c r="C23" s="76" t="s">
        <v>75</v>
      </c>
      <c r="D23" s="77"/>
      <c r="E23" s="68"/>
      <c r="F23" s="77"/>
      <c r="G23" s="78"/>
      <c r="H23" s="103" t="s">
        <v>799</v>
      </c>
      <c r="I23" s="125" t="s">
        <v>76</v>
      </c>
      <c r="J23" s="56"/>
      <c r="K23" s="126"/>
      <c r="L23" s="123"/>
    </row>
    <row r="24" ht="18" spans="2:12">
      <c r="B24" s="66" t="s">
        <v>78</v>
      </c>
      <c r="C24" s="56" t="s">
        <v>79</v>
      </c>
      <c r="D24" s="77"/>
      <c r="E24" s="68"/>
      <c r="F24" s="77"/>
      <c r="G24" s="78"/>
      <c r="H24" s="104" t="s">
        <v>940</v>
      </c>
      <c r="I24" s="127" t="s">
        <v>80</v>
      </c>
      <c r="J24" s="56"/>
      <c r="K24" s="122">
        <v>18.7396840713815</v>
      </c>
      <c r="L24" s="123" t="s">
        <v>59</v>
      </c>
    </row>
    <row r="25" ht="18" spans="2:12">
      <c r="B25" s="57" t="s">
        <v>81</v>
      </c>
      <c r="C25" s="56" t="s">
        <v>59</v>
      </c>
      <c r="D25" s="77"/>
      <c r="E25" s="68"/>
      <c r="F25" s="77"/>
      <c r="G25" s="77"/>
      <c r="H25" s="104" t="s">
        <v>852</v>
      </c>
      <c r="I25" s="128" t="s">
        <v>83</v>
      </c>
      <c r="J25" s="56"/>
      <c r="K25" s="122">
        <v>81.2864776343578</v>
      </c>
      <c r="L25" s="123" t="s">
        <v>59</v>
      </c>
    </row>
    <row r="26" ht="18" spans="2:12">
      <c r="B26" s="57" t="s">
        <v>84</v>
      </c>
      <c r="C26" s="56" t="s">
        <v>59</v>
      </c>
      <c r="D26" s="78"/>
      <c r="E26" s="68"/>
      <c r="F26" s="78"/>
      <c r="G26" s="78"/>
      <c r="H26" s="105" t="s">
        <v>483</v>
      </c>
      <c r="I26" s="57" t="s">
        <v>86</v>
      </c>
      <c r="J26" s="56"/>
      <c r="K26" s="122">
        <v>51.9895697672672</v>
      </c>
      <c r="L26" s="123" t="s">
        <v>59</v>
      </c>
    </row>
    <row r="27" ht="18" spans="2:12">
      <c r="B27" s="57" t="s">
        <v>87</v>
      </c>
      <c r="C27" s="56" t="s">
        <v>88</v>
      </c>
      <c r="D27" s="78"/>
      <c r="E27" s="68"/>
      <c r="F27" s="78"/>
      <c r="G27" s="78"/>
      <c r="H27" s="103" t="s">
        <v>298</v>
      </c>
      <c r="I27" s="129"/>
      <c r="J27" s="130"/>
      <c r="K27" s="131"/>
      <c r="L27" s="132"/>
    </row>
    <row r="28" ht="18" spans="2:12">
      <c r="B28" s="57" t="s">
        <v>90</v>
      </c>
      <c r="C28" s="56" t="s">
        <v>91</v>
      </c>
      <c r="D28" s="78"/>
      <c r="E28" s="68"/>
      <c r="F28" s="78"/>
      <c r="G28" s="78"/>
      <c r="H28" s="103" t="s">
        <v>429</v>
      </c>
      <c r="I28" s="63" t="s">
        <v>93</v>
      </c>
      <c r="J28" s="133"/>
      <c r="K28" s="134"/>
      <c r="L28" s="120"/>
    </row>
    <row r="29" spans="2:12">
      <c r="B29" s="66" t="s">
        <v>32</v>
      </c>
      <c r="C29" s="56" t="s">
        <v>62</v>
      </c>
      <c r="D29" s="75">
        <v>7.55583333333333</v>
      </c>
      <c r="E29" s="68"/>
      <c r="F29" s="75"/>
      <c r="G29" s="80"/>
      <c r="H29" s="78"/>
      <c r="I29" s="66" t="s">
        <v>26</v>
      </c>
      <c r="J29" s="64"/>
      <c r="K29" s="134">
        <v>1</v>
      </c>
      <c r="L29" s="120"/>
    </row>
    <row r="30" spans="2:12">
      <c r="B30" s="66" t="s">
        <v>94</v>
      </c>
      <c r="C30" s="56" t="s">
        <v>95</v>
      </c>
      <c r="D30" s="77">
        <v>41.8931144393241</v>
      </c>
      <c r="E30" s="68"/>
      <c r="F30" s="77"/>
      <c r="G30" s="77"/>
      <c r="H30" s="78"/>
      <c r="I30" s="66" t="s">
        <v>96</v>
      </c>
      <c r="J30" s="92"/>
      <c r="K30" s="135">
        <v>1742</v>
      </c>
      <c r="L30" s="120" t="s">
        <v>55</v>
      </c>
    </row>
    <row r="31" ht="18" spans="2:12">
      <c r="B31" s="66" t="s">
        <v>97</v>
      </c>
      <c r="C31" s="64" t="s">
        <v>98</v>
      </c>
      <c r="D31" s="75">
        <v>2.59910245833333</v>
      </c>
      <c r="E31" s="68"/>
      <c r="F31" s="75"/>
      <c r="G31" s="80"/>
      <c r="H31" s="78"/>
      <c r="I31" s="66" t="s">
        <v>99</v>
      </c>
      <c r="J31" s="92"/>
      <c r="K31" s="135"/>
      <c r="L31" s="120" t="s">
        <v>55</v>
      </c>
    </row>
    <row r="32" ht="18" spans="2:12">
      <c r="B32" s="66" t="s">
        <v>100</v>
      </c>
      <c r="C32" s="64" t="s">
        <v>98</v>
      </c>
      <c r="D32" s="75">
        <v>4.3575</v>
      </c>
      <c r="E32" s="68"/>
      <c r="F32" s="75"/>
      <c r="G32" s="80"/>
      <c r="H32" s="78"/>
      <c r="I32" s="66" t="s">
        <v>66</v>
      </c>
      <c r="J32" s="92"/>
      <c r="K32" s="135">
        <v>450</v>
      </c>
      <c r="L32" s="120" t="s">
        <v>55</v>
      </c>
    </row>
    <row r="33" spans="2:12">
      <c r="B33" s="66" t="s">
        <v>101</v>
      </c>
      <c r="C33" s="64" t="s">
        <v>102</v>
      </c>
      <c r="D33" s="77">
        <v>53.3441666666667</v>
      </c>
      <c r="E33" s="68"/>
      <c r="F33" s="80"/>
      <c r="G33" s="80"/>
      <c r="H33" s="78"/>
      <c r="I33" s="57" t="s">
        <v>103</v>
      </c>
      <c r="J33" s="64"/>
      <c r="K33" s="137">
        <v>11.7</v>
      </c>
      <c r="L33" s="120" t="s">
        <v>59</v>
      </c>
    </row>
    <row r="34" spans="2:12">
      <c r="B34" s="66" t="s">
        <v>104</v>
      </c>
      <c r="C34" s="64" t="s">
        <v>62</v>
      </c>
      <c r="D34" s="80">
        <v>0.193454545454545</v>
      </c>
      <c r="E34" s="68"/>
      <c r="F34" s="80"/>
      <c r="G34" s="80"/>
      <c r="H34" s="78"/>
      <c r="I34" s="66" t="s">
        <v>105</v>
      </c>
      <c r="J34" s="64"/>
      <c r="K34" s="137">
        <v>7.92532678955926</v>
      </c>
      <c r="L34" s="120" t="s">
        <v>59</v>
      </c>
    </row>
    <row r="35" spans="2:12"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66.730434163584</v>
      </c>
      <c r="L35" s="120" t="s">
        <v>59</v>
      </c>
    </row>
    <row r="36" spans="2:12"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7.6" spans="2:12"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300</v>
      </c>
      <c r="L38" s="120"/>
    </row>
    <row r="39" spans="2:12">
      <c r="B39" s="85" t="s">
        <v>111</v>
      </c>
      <c r="C39" s="64" t="s">
        <v>59</v>
      </c>
      <c r="D39" s="78">
        <v>68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8" spans="2:12"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54.6916666666667</v>
      </c>
    </row>
    <row r="41" ht="18" spans="2:12"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143" t="s">
        <v>116</v>
      </c>
      <c r="L41" s="145">
        <v>42.2916666666667</v>
      </c>
    </row>
    <row r="42" ht="18" spans="2:12"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143" t="s">
        <v>120</v>
      </c>
      <c r="L42" s="888" t="s">
        <v>117</v>
      </c>
    </row>
    <row r="43" ht="18" spans="2:12">
      <c r="B43" s="66" t="s">
        <v>121</v>
      </c>
      <c r="C43" s="64" t="s">
        <v>122</v>
      </c>
      <c r="D43" s="77">
        <v>75</v>
      </c>
      <c r="E43" s="77"/>
      <c r="F43" s="77"/>
      <c r="G43" s="78"/>
      <c r="H43" s="102"/>
      <c r="I43" s="66"/>
      <c r="J43" s="64" t="s">
        <v>123</v>
      </c>
      <c r="K43" s="144" t="s">
        <v>124</v>
      </c>
      <c r="L43" s="889" t="s">
        <v>117</v>
      </c>
    </row>
    <row r="44" spans="2:12">
      <c r="B44" s="66" t="s">
        <v>125</v>
      </c>
      <c r="C44" s="64" t="s">
        <v>122</v>
      </c>
      <c r="D44" s="77">
        <v>91</v>
      </c>
      <c r="E44" s="77"/>
      <c r="F44" s="77"/>
      <c r="G44" s="78"/>
      <c r="H44" s="102"/>
      <c r="I44" s="148" t="s">
        <v>126</v>
      </c>
      <c r="J44" s="64"/>
      <c r="K44" s="134"/>
      <c r="L44" s="120"/>
    </row>
    <row r="45" spans="2:12">
      <c r="B45" s="66" t="s">
        <v>127</v>
      </c>
      <c r="C45" s="64" t="s">
        <v>59</v>
      </c>
      <c r="D45" s="75">
        <v>36</v>
      </c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</row>
    <row r="46" spans="2:12">
      <c r="B46" s="66" t="s">
        <v>130</v>
      </c>
      <c r="C46" s="64" t="s">
        <v>59</v>
      </c>
      <c r="D46" s="78">
        <v>43.5</v>
      </c>
      <c r="E46" s="78"/>
      <c r="F46" s="78"/>
      <c r="G46" s="78"/>
      <c r="H46" s="102"/>
      <c r="I46" s="66"/>
      <c r="J46" s="64" t="s">
        <v>131</v>
      </c>
      <c r="K46" s="79">
        <v>54.6539874959819</v>
      </c>
      <c r="L46" s="147">
        <f>K46*L40/100</f>
        <v>29.8911766613441</v>
      </c>
    </row>
    <row r="47" spans="2:12"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9">
        <f>K46/K24*100/K25*100</f>
        <v>358.790787529028</v>
      </c>
      <c r="L47" s="147">
        <f>K47*L40/100</f>
        <v>196.228661546084</v>
      </c>
    </row>
    <row r="48" spans="2:12">
      <c r="B48" s="66" t="s">
        <v>135</v>
      </c>
      <c r="C48" s="64" t="s">
        <v>240</v>
      </c>
      <c r="D48" s="150">
        <v>8699.16666666667</v>
      </c>
      <c r="E48" s="69"/>
      <c r="F48" s="78"/>
      <c r="G48" s="78" t="s">
        <v>77</v>
      </c>
      <c r="H48" s="102"/>
      <c r="I48" s="148" t="s">
        <v>137</v>
      </c>
      <c r="J48" s="64"/>
      <c r="K48" s="134"/>
      <c r="L48" s="120"/>
    </row>
    <row r="49" spans="2:12">
      <c r="B49" s="57" t="s">
        <v>138</v>
      </c>
      <c r="C49" s="64" t="s">
        <v>240</v>
      </c>
      <c r="D49" s="150">
        <f>365*24*D50/100</f>
        <v>8526.10781310804</v>
      </c>
      <c r="E49" s="69"/>
      <c r="F49" s="78"/>
      <c r="G49" s="69"/>
      <c r="H49" s="98"/>
      <c r="I49" s="66"/>
      <c r="J49" s="64" t="s">
        <v>139</v>
      </c>
      <c r="K49" s="150">
        <v>1751.93996159754</v>
      </c>
      <c r="L49" s="231"/>
    </row>
    <row r="50" spans="2:12">
      <c r="B50" s="57" t="s">
        <v>140</v>
      </c>
      <c r="C50" s="64" t="s">
        <v>59</v>
      </c>
      <c r="D50" s="77">
        <f>K49/24/D43*100</f>
        <v>97.3299978665301</v>
      </c>
      <c r="E50" s="78"/>
      <c r="F50" s="78"/>
      <c r="G50" s="78"/>
      <c r="H50" s="102"/>
      <c r="I50" s="66"/>
      <c r="J50" s="64" t="s">
        <v>141</v>
      </c>
      <c r="K50" s="150">
        <v>103.471308735446</v>
      </c>
      <c r="L50" s="120"/>
    </row>
    <row r="51" spans="2:12"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</row>
    <row r="52" spans="2:12"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</row>
    <row r="53" ht="17.6" spans="2:12"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</row>
    <row r="54" spans="2:12">
      <c r="B54" s="66"/>
      <c r="C54" s="91" t="s">
        <v>145</v>
      </c>
      <c r="D54" s="92"/>
      <c r="E54" s="92"/>
      <c r="F54" s="64"/>
      <c r="G54" s="64"/>
      <c r="H54" s="64"/>
      <c r="I54" s="78"/>
      <c r="J54" s="64"/>
      <c r="K54" s="64"/>
      <c r="L54" s="114"/>
    </row>
    <row r="55" spans="2:12">
      <c r="B55" s="66" t="s">
        <v>146</v>
      </c>
      <c r="C55" s="93">
        <v>46507.632328469</v>
      </c>
      <c r="D55" s="69">
        <v>7.27297587565386</v>
      </c>
      <c r="E55" s="111" t="s">
        <v>147</v>
      </c>
      <c r="F55" s="64"/>
      <c r="G55" s="64" t="s">
        <v>752</v>
      </c>
      <c r="H55" s="64"/>
      <c r="I55" s="69"/>
      <c r="J55" s="69"/>
      <c r="K55" s="111"/>
      <c r="L55" s="114"/>
    </row>
    <row r="56" spans="2:12">
      <c r="B56" s="66"/>
      <c r="C56" s="69"/>
      <c r="D56" s="69"/>
      <c r="E56" s="111"/>
      <c r="F56" s="64"/>
      <c r="G56" s="64" t="s">
        <v>753</v>
      </c>
      <c r="H56" s="64"/>
      <c r="I56" s="69"/>
      <c r="J56" s="69"/>
      <c r="K56" s="111"/>
      <c r="L56" s="114"/>
    </row>
    <row r="57" spans="2:12"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61" spans="5:5">
      <c r="E61" t="s">
        <v>77</v>
      </c>
    </row>
  </sheetData>
  <mergeCells count="1">
    <mergeCell ref="B2:L2"/>
  </mergeCells>
  <pageMargins left="0.7" right="0.7" top="0.787401575" bottom="0.787401575" header="0.3" footer="0.3"/>
  <headerFooter/>
  <ignoredErrors>
    <ignoredError sqref="D18 D15" numberStoredAsText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H59"/>
  <sheetViews>
    <sheetView zoomScale="85" zoomScaleNormal="85" workbookViewId="0">
      <selection activeCell="A1" sqref="A1"/>
    </sheetView>
  </sheetViews>
  <sheetFormatPr defaultColWidth="11.5" defaultRowHeight="16.8" outlineLevelCol="7"/>
  <sheetData>
    <row r="1" spans="1:1">
      <c r="A1" t="s">
        <v>941</v>
      </c>
    </row>
    <row r="2" ht="34" spans="2:8">
      <c r="B2" t="s">
        <v>154</v>
      </c>
      <c r="C2" t="s">
        <v>155</v>
      </c>
      <c r="D2" t="s">
        <v>155</v>
      </c>
      <c r="E2" t="s">
        <v>58</v>
      </c>
      <c r="F2" t="s">
        <v>222</v>
      </c>
      <c r="G2" t="s">
        <v>157</v>
      </c>
      <c r="H2" s="48" t="s">
        <v>661</v>
      </c>
    </row>
    <row r="3" spans="3:8">
      <c r="C3" t="s">
        <v>59</v>
      </c>
      <c r="D3" t="s">
        <v>59</v>
      </c>
      <c r="E3" t="s">
        <v>59</v>
      </c>
      <c r="F3" t="s">
        <v>59</v>
      </c>
      <c r="G3" t="s">
        <v>59</v>
      </c>
      <c r="H3" t="s">
        <v>925</v>
      </c>
    </row>
    <row r="4" spans="2:8">
      <c r="B4" t="s">
        <v>177</v>
      </c>
      <c r="C4">
        <v>2.58993042196575</v>
      </c>
      <c r="D4">
        <v>68.891065621216</v>
      </c>
      <c r="E4">
        <v>1.48846575975043</v>
      </c>
      <c r="F4">
        <v>0</v>
      </c>
      <c r="G4">
        <v>8.95064076863261</v>
      </c>
      <c r="H4">
        <v>16.795818</v>
      </c>
    </row>
    <row r="5" spans="2:8">
      <c r="B5" t="s">
        <v>166</v>
      </c>
      <c r="C5">
        <v>1.22623380068509</v>
      </c>
      <c r="D5">
        <v>70.7543238536605</v>
      </c>
      <c r="E5">
        <v>1.73716455097055</v>
      </c>
      <c r="F5">
        <v>0</v>
      </c>
      <c r="G5">
        <v>10.0551171656178</v>
      </c>
      <c r="H5">
        <v>15.783970967742</v>
      </c>
    </row>
    <row r="6" spans="2:8">
      <c r="B6" t="s">
        <v>167</v>
      </c>
      <c r="C6">
        <v>3.17805435426363</v>
      </c>
      <c r="D6">
        <v>77.8444210731336</v>
      </c>
      <c r="E6">
        <v>0.794513588565907</v>
      </c>
      <c r="F6">
        <v>0</v>
      </c>
      <c r="G6">
        <v>7.78623316794589</v>
      </c>
      <c r="H6">
        <v>14.6840366666666</v>
      </c>
    </row>
    <row r="7" spans="2:8">
      <c r="B7" t="s">
        <v>168</v>
      </c>
      <c r="C7">
        <v>1.85936339238766</v>
      </c>
      <c r="D7">
        <v>68.9425015777006</v>
      </c>
      <c r="E7">
        <v>0.306488471272692</v>
      </c>
      <c r="F7">
        <v>0.715139766302947</v>
      </c>
      <c r="G7">
        <v>5.04684349362366</v>
      </c>
      <c r="H7">
        <v>15.7875748387097</v>
      </c>
    </row>
    <row r="8" spans="2:8">
      <c r="B8" t="s">
        <v>169</v>
      </c>
      <c r="C8">
        <v>1.23739947676001</v>
      </c>
      <c r="D8">
        <v>62.3530583434228</v>
      </c>
      <c r="E8">
        <v>0.356221061491517</v>
      </c>
      <c r="F8">
        <v>0.974920799871521</v>
      </c>
      <c r="G8">
        <v>5.26832201469033</v>
      </c>
      <c r="H8">
        <v>17.2056987096774</v>
      </c>
    </row>
    <row r="9" spans="2:8">
      <c r="B9" t="s">
        <v>170</v>
      </c>
      <c r="C9">
        <v>1.47573304579495</v>
      </c>
      <c r="D9">
        <v>62.1417714790297</v>
      </c>
      <c r="E9">
        <v>0.681107559597667</v>
      </c>
      <c r="F9">
        <v>0.378393088665371</v>
      </c>
      <c r="G9">
        <v>8.51384449497084</v>
      </c>
      <c r="H9">
        <v>18.8768171428572</v>
      </c>
    </row>
    <row r="10" spans="2:8">
      <c r="B10" t="s">
        <v>171</v>
      </c>
      <c r="C10">
        <v>1.53325950117621</v>
      </c>
      <c r="D10">
        <v>58.2412265267892</v>
      </c>
      <c r="E10">
        <v>0.468997023889193</v>
      </c>
      <c r="F10">
        <v>0.721533882906451</v>
      </c>
      <c r="G10">
        <v>8.17137122391556</v>
      </c>
      <c r="H10">
        <v>17.8830490322581</v>
      </c>
    </row>
    <row r="11" spans="2:8">
      <c r="B11" t="s">
        <v>172</v>
      </c>
      <c r="C11">
        <v>1.39904986169234</v>
      </c>
      <c r="D11">
        <v>60.7432167947653</v>
      </c>
      <c r="E11">
        <v>0.481792005351004</v>
      </c>
      <c r="F11">
        <v>0.463261543606735</v>
      </c>
      <c r="G11">
        <v>8.02368993526865</v>
      </c>
      <c r="H11">
        <v>17.9883986666667</v>
      </c>
    </row>
    <row r="12" spans="2:8">
      <c r="B12" t="s">
        <v>173</v>
      </c>
      <c r="C12">
        <v>1.43628584294409</v>
      </c>
      <c r="D12">
        <v>62.2735585253352</v>
      </c>
      <c r="E12">
        <v>0.651116248801322</v>
      </c>
      <c r="F12">
        <v>0.574514337177637</v>
      </c>
      <c r="G12">
        <v>8.1198026321106</v>
      </c>
      <c r="H12">
        <v>16.8445219354839</v>
      </c>
    </row>
    <row r="13" spans="2:8">
      <c r="B13" t="s">
        <v>174</v>
      </c>
      <c r="C13">
        <v>1.53134209648429</v>
      </c>
      <c r="D13">
        <v>64.38647996125</v>
      </c>
      <c r="E13">
        <v>0.510447365494763</v>
      </c>
      <c r="F13">
        <v>0.588977729417035</v>
      </c>
      <c r="G13">
        <v>5.28116697377274</v>
      </c>
      <c r="H13">
        <v>16.9785706666667</v>
      </c>
    </row>
    <row r="14" spans="2:8">
      <c r="B14" t="s">
        <v>175</v>
      </c>
      <c r="C14">
        <v>1.50490150089332</v>
      </c>
      <c r="D14">
        <v>60.4137495435744</v>
      </c>
      <c r="E14">
        <v>0.495516347855118</v>
      </c>
      <c r="F14">
        <v>0.367049146559347</v>
      </c>
      <c r="G14">
        <v>9.02940900535993</v>
      </c>
      <c r="H14">
        <v>17.5769729032258</v>
      </c>
    </row>
    <row r="15" spans="2:8">
      <c r="B15" t="s">
        <v>176</v>
      </c>
      <c r="C15">
        <v>1.42976663441236</v>
      </c>
      <c r="D15">
        <v>60.8428428188355</v>
      </c>
      <c r="E15">
        <v>0.479663645093181</v>
      </c>
      <c r="F15">
        <v>0.461215043358827</v>
      </c>
      <c r="G15">
        <v>8.44945959433372</v>
      </c>
      <c r="H15">
        <v>17.4853709677419</v>
      </c>
    </row>
    <row r="26" spans="2:3">
      <c r="B26" t="s">
        <v>104</v>
      </c>
      <c r="C26" t="s">
        <v>22</v>
      </c>
    </row>
    <row r="27" spans="3:3">
      <c r="C27" t="s">
        <v>62</v>
      </c>
    </row>
    <row r="29" spans="2:3">
      <c r="B29" t="s">
        <v>177</v>
      </c>
      <c r="C29">
        <v>0.224</v>
      </c>
    </row>
    <row r="30" spans="2:3">
      <c r="B30" t="s">
        <v>166</v>
      </c>
      <c r="C30">
        <v>0.1995</v>
      </c>
    </row>
    <row r="31" spans="2:3">
      <c r="B31" t="s">
        <v>167</v>
      </c>
      <c r="C31">
        <v>0.19</v>
      </c>
    </row>
    <row r="32" spans="2:3">
      <c r="B32" t="s">
        <v>168</v>
      </c>
      <c r="C32">
        <v>0.2165</v>
      </c>
    </row>
    <row r="33" spans="2:3">
      <c r="B33" t="s">
        <v>169</v>
      </c>
      <c r="C33">
        <v>0.1945</v>
      </c>
    </row>
    <row r="34" spans="2:3">
      <c r="B34" t="s">
        <v>170</v>
      </c>
      <c r="C34">
        <v>0.2195</v>
      </c>
    </row>
    <row r="35" spans="2:3">
      <c r="B35" t="s">
        <v>171</v>
      </c>
      <c r="C35">
        <v>0.1195</v>
      </c>
    </row>
    <row r="36" spans="2:3">
      <c r="B36" t="s">
        <v>172</v>
      </c>
      <c r="C36">
        <v>0.2155</v>
      </c>
    </row>
    <row r="37" spans="2:3">
      <c r="B37" t="s">
        <v>173</v>
      </c>
      <c r="C37">
        <v>0.1675</v>
      </c>
    </row>
    <row r="38" spans="2:3">
      <c r="B38" t="s">
        <v>174</v>
      </c>
      <c r="C38">
        <v>0.183</v>
      </c>
    </row>
    <row r="39" spans="2:3">
      <c r="B39" t="s">
        <v>175</v>
      </c>
      <c r="C39">
        <v>0.1985</v>
      </c>
    </row>
    <row r="40" spans="2:3">
      <c r="B40" t="s">
        <v>176</v>
      </c>
      <c r="C40">
        <v>0.2035</v>
      </c>
    </row>
    <row r="46" spans="3:8"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184</v>
      </c>
    </row>
    <row r="47" spans="2:6">
      <c r="B47" t="s">
        <v>154</v>
      </c>
      <c r="C47" t="s">
        <v>185</v>
      </c>
      <c r="D47" t="s">
        <v>185</v>
      </c>
      <c r="E47" t="s">
        <v>122</v>
      </c>
      <c r="F47" t="s">
        <v>122</v>
      </c>
    </row>
    <row r="48" spans="2:8">
      <c r="B48" t="s">
        <v>177</v>
      </c>
      <c r="C48">
        <v>0</v>
      </c>
      <c r="D48">
        <v>68.425</v>
      </c>
      <c r="E48" t="s">
        <v>936</v>
      </c>
      <c r="F48">
        <v>90.62</v>
      </c>
      <c r="G48">
        <v>96.0350877192982</v>
      </c>
      <c r="H48">
        <v>0</v>
      </c>
    </row>
    <row r="49" spans="2:8">
      <c r="B49" t="s">
        <v>166</v>
      </c>
      <c r="C49">
        <v>0</v>
      </c>
      <c r="D49">
        <v>79.4270161290321</v>
      </c>
      <c r="E49" t="s">
        <v>936</v>
      </c>
      <c r="F49">
        <v>90.62</v>
      </c>
      <c r="G49">
        <v>111.476513865308</v>
      </c>
      <c r="H49">
        <v>0</v>
      </c>
    </row>
    <row r="50" spans="2:8">
      <c r="B50" t="s">
        <v>167</v>
      </c>
      <c r="C50">
        <v>0</v>
      </c>
      <c r="D50">
        <v>61.1674166666667</v>
      </c>
      <c r="E50" t="s">
        <v>936</v>
      </c>
      <c r="F50">
        <v>90.62</v>
      </c>
      <c r="G50">
        <v>85.8490058479532</v>
      </c>
      <c r="H50">
        <v>0</v>
      </c>
    </row>
    <row r="51" spans="2:8">
      <c r="B51" t="s">
        <v>168</v>
      </c>
      <c r="C51">
        <v>0</v>
      </c>
      <c r="D51">
        <v>74.1693548387096</v>
      </c>
      <c r="E51" t="s">
        <v>936</v>
      </c>
      <c r="F51">
        <v>90.62</v>
      </c>
      <c r="G51">
        <v>104.097340124505</v>
      </c>
      <c r="H51">
        <v>0</v>
      </c>
    </row>
    <row r="52" spans="2:8">
      <c r="B52" t="s">
        <v>169</v>
      </c>
      <c r="C52">
        <v>0</v>
      </c>
      <c r="D52">
        <v>75.3881451612904</v>
      </c>
      <c r="E52" t="s">
        <v>936</v>
      </c>
      <c r="F52">
        <v>90.62</v>
      </c>
      <c r="G52">
        <v>105.80792303339</v>
      </c>
      <c r="H52">
        <v>0</v>
      </c>
    </row>
    <row r="53" spans="2:8">
      <c r="B53" t="s">
        <v>170</v>
      </c>
      <c r="C53">
        <v>0</v>
      </c>
      <c r="D53">
        <v>75.4678571428571</v>
      </c>
      <c r="E53" t="s">
        <v>936</v>
      </c>
      <c r="F53">
        <v>90.62</v>
      </c>
      <c r="G53">
        <v>105.919799498747</v>
      </c>
      <c r="H53">
        <v>0</v>
      </c>
    </row>
    <row r="54" spans="2:8">
      <c r="B54" t="s">
        <v>171</v>
      </c>
      <c r="C54">
        <v>0</v>
      </c>
      <c r="D54">
        <v>74.4764516129033</v>
      </c>
      <c r="E54" t="s">
        <v>936</v>
      </c>
      <c r="F54">
        <v>90.62</v>
      </c>
      <c r="G54">
        <v>104.528353140917</v>
      </c>
      <c r="H54">
        <v>0</v>
      </c>
    </row>
    <row r="55" spans="2:8">
      <c r="B55" t="s">
        <v>172</v>
      </c>
      <c r="C55">
        <v>0</v>
      </c>
      <c r="D55">
        <v>75.01675</v>
      </c>
      <c r="E55" t="s">
        <v>936</v>
      </c>
      <c r="F55">
        <v>90.62</v>
      </c>
      <c r="G55">
        <v>105.286666666667</v>
      </c>
      <c r="H55">
        <v>0</v>
      </c>
    </row>
    <row r="56" spans="2:8">
      <c r="B56" t="s">
        <v>173</v>
      </c>
      <c r="C56">
        <v>0</v>
      </c>
      <c r="D56">
        <v>74.3969354838708</v>
      </c>
      <c r="E56" t="s">
        <v>936</v>
      </c>
      <c r="F56">
        <v>90.62</v>
      </c>
      <c r="G56">
        <v>104.41675155631</v>
      </c>
      <c r="H56">
        <v>0</v>
      </c>
    </row>
    <row r="57" spans="2:8">
      <c r="B57" t="s">
        <v>174</v>
      </c>
      <c r="C57">
        <v>0</v>
      </c>
      <c r="D57">
        <v>70.4366666666667</v>
      </c>
      <c r="E57" t="s">
        <v>936</v>
      </c>
      <c r="F57">
        <v>90.62</v>
      </c>
      <c r="G57">
        <v>98.8584795321637</v>
      </c>
      <c r="H57">
        <v>0</v>
      </c>
    </row>
    <row r="58" spans="2:8">
      <c r="B58" t="s">
        <v>175</v>
      </c>
      <c r="C58">
        <v>0</v>
      </c>
      <c r="D58">
        <v>72.0306451612904</v>
      </c>
      <c r="E58" t="s">
        <v>936</v>
      </c>
      <c r="F58">
        <v>90.62</v>
      </c>
      <c r="G58">
        <v>101.095642331636</v>
      </c>
      <c r="H58">
        <v>0</v>
      </c>
    </row>
    <row r="59" spans="2:8">
      <c r="B59" t="s">
        <v>176</v>
      </c>
      <c r="C59">
        <v>0</v>
      </c>
      <c r="D59">
        <v>75.5677419354838</v>
      </c>
      <c r="E59" t="s">
        <v>936</v>
      </c>
      <c r="F59">
        <v>90.62</v>
      </c>
      <c r="G59">
        <v>106.059988681381</v>
      </c>
      <c r="H59">
        <v>0</v>
      </c>
    </row>
  </sheetData>
  <pageMargins left="0.7" right="0.7" top="0.787401575" bottom="0.787401575" header="0.3" footer="0.3"/>
  <headerFooter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O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939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75</v>
      </c>
      <c r="G3" s="22"/>
      <c r="H3" s="23" t="s">
        <v>187</v>
      </c>
      <c r="I3" s="5" t="s">
        <v>188</v>
      </c>
      <c r="J3" s="35">
        <v>621632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v>71</v>
      </c>
      <c r="G4" s="184"/>
      <c r="H4" s="25" t="s">
        <v>187</v>
      </c>
      <c r="I4" s="7" t="s">
        <v>191</v>
      </c>
      <c r="J4" s="37">
        <v>550000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100</v>
      </c>
      <c r="H6" s="27" t="s">
        <v>195</v>
      </c>
      <c r="I6" s="1"/>
      <c r="J6" s="40">
        <v>152300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152300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6.93005975790529</v>
      </c>
      <c r="H11" s="27" t="s">
        <v>195</v>
      </c>
      <c r="I11" s="1"/>
      <c r="J11" s="40">
        <v>4000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2000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6.29734530200854</v>
      </c>
      <c r="H16" s="27" t="s">
        <v>195</v>
      </c>
      <c r="I16" s="1"/>
      <c r="J16" s="40">
        <v>3634.8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9.52883216711978</v>
      </c>
      <c r="H17" s="27" t="s">
        <v>195</v>
      </c>
      <c r="I17" s="1"/>
      <c r="J17" s="40">
        <v>5500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47.6441608355989</v>
      </c>
      <c r="H18" s="27" t="s">
        <v>195</v>
      </c>
      <c r="I18" s="1"/>
      <c r="J18" s="40">
        <v>27500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29.5996019373675</v>
      </c>
      <c r="H19" s="27" t="s">
        <v>195</v>
      </c>
      <c r="I19" s="1"/>
      <c r="J19" s="40">
        <v>17084.76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1270</v>
      </c>
      <c r="K21" s="44" t="s">
        <v>196</v>
      </c>
      <c r="L21" s="15"/>
    </row>
    <row r="22" ht="21.75" customHeight="1" spans="1:15">
      <c r="A22" s="17"/>
      <c r="B22" s="18"/>
      <c r="C22" s="17"/>
      <c r="D22" s="15" t="s">
        <v>648</v>
      </c>
      <c r="E22" s="15"/>
      <c r="F22" s="15"/>
      <c r="G22" s="33"/>
      <c r="H22" s="17"/>
      <c r="I22" s="17"/>
      <c r="J22" s="45">
        <v>0</v>
      </c>
      <c r="K22" s="44" t="s">
        <v>196</v>
      </c>
      <c r="L22" s="17"/>
      <c r="O22" t="s">
        <v>77</v>
      </c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1191.76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1550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673</v>
      </c>
      <c r="E29" s="15"/>
      <c r="F29" s="15"/>
      <c r="G29" s="31"/>
      <c r="H29" s="15"/>
      <c r="I29" s="15"/>
      <c r="J29" s="45">
        <v>13073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57719.56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24.5000257387007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9.28516549984557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15.2148602388551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94580.44</v>
      </c>
      <c r="K37" s="43" t="s">
        <v>196</v>
      </c>
      <c r="L37" s="12"/>
    </row>
    <row r="38" ht="21.75" customHeight="1" spans="1:12">
      <c r="A38" s="1"/>
      <c r="B38" s="19" t="s">
        <v>942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675</v>
      </c>
      <c r="C39" s="1"/>
      <c r="D39" s="1"/>
      <c r="E39" s="1"/>
      <c r="F39" s="1"/>
      <c r="G39" s="1"/>
      <c r="H39" s="1"/>
      <c r="I39" s="1"/>
      <c r="J39" s="1"/>
      <c r="K39" s="19"/>
      <c r="L39" s="19"/>
    </row>
    <row r="40" ht="21.75" customHeight="1" spans="1:1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 spans="4:4">
      <c r="D41" t="s">
        <v>77</v>
      </c>
    </row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B2:L60"/>
  <sheetViews>
    <sheetView zoomScale="115" zoomScaleNormal="115" workbookViewId="0">
      <selection activeCell="A1" sqref="A1"/>
    </sheetView>
  </sheetViews>
  <sheetFormatPr defaultColWidth="11.5" defaultRowHeight="16.8"/>
  <cols>
    <col min="2" max="2" width="28.1634615384615" customWidth="1"/>
    <col min="8" max="8" width="15.1634615384615" customWidth="1"/>
  </cols>
  <sheetData>
    <row r="2" ht="28.5" customHeight="1" spans="2:12">
      <c r="B2" s="49" t="s">
        <v>943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135" t="s">
        <v>944</v>
      </c>
      <c r="D4" s="56"/>
      <c r="E4" s="96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239">
        <v>2013</v>
      </c>
      <c r="D5" s="239"/>
      <c r="E5" s="96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5" t="s">
        <v>815</v>
      </c>
      <c r="D6" s="55"/>
      <c r="E6" s="9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56" t="s">
        <v>369</v>
      </c>
      <c r="D7" s="56"/>
      <c r="E7" s="9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213" t="s">
        <v>280</v>
      </c>
      <c r="D8" s="213"/>
      <c r="E8" s="9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6" t="s">
        <v>13</v>
      </c>
      <c r="D9" s="56"/>
      <c r="E9" s="96"/>
      <c r="F9" s="56"/>
      <c r="G9" s="56"/>
      <c r="H9" s="56"/>
      <c r="I9" s="56"/>
      <c r="J9" s="56"/>
      <c r="K9" s="56"/>
      <c r="L9" s="114"/>
    </row>
    <row r="10" spans="2:12">
      <c r="B10" s="60" t="s">
        <v>232</v>
      </c>
      <c r="C10" s="56" t="s">
        <v>559</v>
      </c>
      <c r="D10" s="56"/>
      <c r="E10" s="9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spans="2:12">
      <c r="B13" s="66" t="s">
        <v>233</v>
      </c>
      <c r="C13" s="64"/>
      <c r="D13" s="67" t="s">
        <v>22</v>
      </c>
      <c r="E13" s="67" t="s">
        <v>23</v>
      </c>
      <c r="F13" s="78"/>
      <c r="G13" s="67"/>
      <c r="H13" s="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68">
        <v>1</v>
      </c>
      <c r="E14" s="68">
        <v>1</v>
      </c>
      <c r="F14" s="78"/>
      <c r="G14" s="68"/>
      <c r="H14" s="64"/>
      <c r="I14" s="57" t="s">
        <v>248</v>
      </c>
      <c r="J14" s="64"/>
      <c r="K14" s="119">
        <v>12277.4135483871</v>
      </c>
      <c r="L14" s="120" t="s">
        <v>28</v>
      </c>
    </row>
    <row r="15" spans="2:12">
      <c r="B15" s="66" t="s">
        <v>54</v>
      </c>
      <c r="C15" s="64" t="s">
        <v>55</v>
      </c>
      <c r="D15" s="69" t="s">
        <v>945</v>
      </c>
      <c r="E15" s="69" t="s">
        <v>945</v>
      </c>
      <c r="F15" s="78"/>
      <c r="G15" s="69"/>
      <c r="H15" s="98">
        <f>1206*2</f>
        <v>2412</v>
      </c>
      <c r="I15" s="57" t="s">
        <v>249</v>
      </c>
      <c r="J15" s="64"/>
      <c r="K15" s="121">
        <v>33.6367494476359</v>
      </c>
      <c r="L15" s="120" t="s">
        <v>56</v>
      </c>
    </row>
    <row r="16" spans="2:12">
      <c r="B16" s="66" t="s">
        <v>234</v>
      </c>
      <c r="C16" s="64" t="s">
        <v>55</v>
      </c>
      <c r="D16" s="69">
        <v>1000</v>
      </c>
      <c r="E16" s="69">
        <v>1000</v>
      </c>
      <c r="F16" s="78"/>
      <c r="G16" s="69"/>
      <c r="H16" s="98">
        <f>2000</f>
        <v>2000</v>
      </c>
      <c r="I16" s="56" t="s">
        <v>157</v>
      </c>
      <c r="J16" s="56"/>
      <c r="K16" s="122">
        <v>16.1670859434458</v>
      </c>
      <c r="L16" s="123" t="s">
        <v>59</v>
      </c>
    </row>
    <row r="17" spans="2:12">
      <c r="B17" s="57" t="s">
        <v>61</v>
      </c>
      <c r="C17" s="56" t="s">
        <v>62</v>
      </c>
      <c r="D17" s="70" t="s">
        <v>63</v>
      </c>
      <c r="E17" s="70" t="s">
        <v>63</v>
      </c>
      <c r="F17" s="78"/>
      <c r="G17" s="70"/>
      <c r="H17" s="98"/>
      <c r="I17" s="56" t="s">
        <v>58</v>
      </c>
      <c r="J17" s="56"/>
      <c r="K17" s="124">
        <v>49.0705959871447</v>
      </c>
      <c r="L17" s="123" t="s">
        <v>59</v>
      </c>
    </row>
    <row r="18" spans="2:12">
      <c r="B18" s="57" t="s">
        <v>66</v>
      </c>
      <c r="C18" s="56" t="s">
        <v>55</v>
      </c>
      <c r="D18" s="71" t="s">
        <v>288</v>
      </c>
      <c r="E18" s="71" t="s">
        <v>288</v>
      </c>
      <c r="F18" s="78"/>
      <c r="G18" s="71"/>
      <c r="H18" s="98">
        <v>0</v>
      </c>
      <c r="I18" s="56" t="s">
        <v>155</v>
      </c>
      <c r="J18" s="56"/>
      <c r="K18" s="124">
        <v>34.9145199280441</v>
      </c>
      <c r="L18" s="123" t="s">
        <v>59</v>
      </c>
    </row>
    <row r="19" spans="2:12">
      <c r="B19" s="57"/>
      <c r="C19" s="56"/>
      <c r="D19" s="70"/>
      <c r="E19" s="70"/>
      <c r="F19" s="99"/>
      <c r="G19" s="70"/>
      <c r="H19" s="100"/>
      <c r="I19" s="56"/>
      <c r="J19" s="56"/>
      <c r="K19" s="124"/>
      <c r="L19" s="123"/>
    </row>
    <row r="20" ht="17.6" spans="2:12">
      <c r="B20" s="72" t="s">
        <v>69</v>
      </c>
      <c r="C20" s="73"/>
      <c r="D20" s="74"/>
      <c r="E20" s="74"/>
      <c r="F20" s="78"/>
      <c r="G20" s="74"/>
      <c r="H20" s="101"/>
      <c r="I20" s="56"/>
      <c r="J20" s="56"/>
      <c r="K20" s="124"/>
      <c r="L20" s="123"/>
    </row>
    <row r="21" spans="2:12">
      <c r="B21" s="66" t="s">
        <v>71</v>
      </c>
      <c r="C21" s="64" t="s">
        <v>59</v>
      </c>
      <c r="D21" s="75">
        <v>10.8967406205987</v>
      </c>
      <c r="E21" s="75">
        <v>10.1128669444974</v>
      </c>
      <c r="F21" s="78"/>
      <c r="G21" s="77"/>
      <c r="H21" s="102"/>
      <c r="I21" s="56"/>
      <c r="J21" s="56"/>
      <c r="K21" s="124"/>
      <c r="L21" s="123"/>
    </row>
    <row r="22" spans="2:12">
      <c r="B22" s="66" t="s">
        <v>73</v>
      </c>
      <c r="C22" s="64" t="s">
        <v>59</v>
      </c>
      <c r="D22" s="75">
        <v>74.5016757426095</v>
      </c>
      <c r="E22" s="75">
        <v>72.9429366707119</v>
      </c>
      <c r="F22" s="78"/>
      <c r="G22" s="77"/>
      <c r="H22" s="78"/>
      <c r="I22" s="57"/>
      <c r="J22" s="56"/>
      <c r="K22" s="124"/>
      <c r="L22" s="123"/>
    </row>
    <row r="23" ht="18" spans="2:12">
      <c r="B23" s="66" t="s">
        <v>74</v>
      </c>
      <c r="C23" s="76" t="s">
        <v>75</v>
      </c>
      <c r="D23" s="77"/>
      <c r="E23" s="77"/>
      <c r="F23" s="78"/>
      <c r="G23" s="78"/>
      <c r="H23" s="103" t="s">
        <v>946</v>
      </c>
      <c r="I23" s="125" t="s">
        <v>76</v>
      </c>
      <c r="J23" s="56"/>
      <c r="K23" s="126"/>
      <c r="L23" s="123"/>
    </row>
    <row r="24" ht="18" spans="2:12">
      <c r="B24" s="66" t="s">
        <v>78</v>
      </c>
      <c r="C24" s="56" t="s">
        <v>79</v>
      </c>
      <c r="D24" s="77"/>
      <c r="E24" s="77"/>
      <c r="F24" s="78"/>
      <c r="G24" s="78"/>
      <c r="H24" s="104" t="s">
        <v>550</v>
      </c>
      <c r="I24" s="127" t="s">
        <v>80</v>
      </c>
      <c r="J24" s="56"/>
      <c r="K24" s="122">
        <v>31.3310037702406</v>
      </c>
      <c r="L24" s="123" t="s">
        <v>59</v>
      </c>
    </row>
    <row r="25" ht="18" spans="2:12">
      <c r="B25" s="57" t="s">
        <v>81</v>
      </c>
      <c r="C25" s="56" t="s">
        <v>59</v>
      </c>
      <c r="D25" s="77"/>
      <c r="E25" s="77"/>
      <c r="F25" s="78"/>
      <c r="G25" s="77"/>
      <c r="H25" s="104" t="s">
        <v>947</v>
      </c>
      <c r="I25" s="128" t="s">
        <v>83</v>
      </c>
      <c r="J25" s="56"/>
      <c r="K25" s="122">
        <v>90.2928155171711</v>
      </c>
      <c r="L25" s="123" t="s">
        <v>59</v>
      </c>
    </row>
    <row r="26" ht="18" spans="2:12">
      <c r="B26" s="57" t="s">
        <v>84</v>
      </c>
      <c r="C26" s="56" t="s">
        <v>59</v>
      </c>
      <c r="D26" s="78"/>
      <c r="E26" s="78"/>
      <c r="F26" s="78"/>
      <c r="G26" s="78"/>
      <c r="H26" s="105" t="s">
        <v>428</v>
      </c>
      <c r="I26" s="57" t="s">
        <v>86</v>
      </c>
      <c r="J26" s="56"/>
      <c r="K26" s="122">
        <v>67.6771369986246</v>
      </c>
      <c r="L26" s="123" t="s">
        <v>59</v>
      </c>
    </row>
    <row r="27" ht="18" spans="2:12">
      <c r="B27" s="57" t="s">
        <v>87</v>
      </c>
      <c r="C27" s="56" t="s">
        <v>88</v>
      </c>
      <c r="D27" s="78"/>
      <c r="E27" s="78"/>
      <c r="F27" s="78"/>
      <c r="G27" s="78"/>
      <c r="H27" s="103" t="s">
        <v>255</v>
      </c>
      <c r="I27" s="129"/>
      <c r="J27" s="130"/>
      <c r="K27" s="131"/>
      <c r="L27" s="132"/>
    </row>
    <row r="28" ht="18" spans="2:12">
      <c r="B28" s="57" t="s">
        <v>90</v>
      </c>
      <c r="C28" s="56" t="s">
        <v>91</v>
      </c>
      <c r="D28" s="78"/>
      <c r="E28" s="78"/>
      <c r="F28" s="78"/>
      <c r="G28" s="78"/>
      <c r="H28" s="103" t="s">
        <v>535</v>
      </c>
      <c r="I28" s="63" t="s">
        <v>93</v>
      </c>
      <c r="J28" s="133"/>
      <c r="K28" s="134"/>
      <c r="L28" s="120"/>
    </row>
    <row r="29" spans="2:12">
      <c r="B29" s="66" t="s">
        <v>32</v>
      </c>
      <c r="C29" s="56" t="s">
        <v>62</v>
      </c>
      <c r="D29" s="75">
        <v>7.08583333333333</v>
      </c>
      <c r="E29" s="75">
        <v>7.20916666666667</v>
      </c>
      <c r="F29" s="78"/>
      <c r="G29" s="80"/>
      <c r="H29" s="78"/>
      <c r="I29" s="66" t="s">
        <v>26</v>
      </c>
      <c r="J29" s="64"/>
      <c r="K29" s="134">
        <v>1</v>
      </c>
      <c r="L29" s="120"/>
    </row>
    <row r="30" spans="2:12">
      <c r="B30" s="66" t="s">
        <v>94</v>
      </c>
      <c r="C30" s="56" t="s">
        <v>95</v>
      </c>
      <c r="D30" s="77">
        <v>50.4844672531769</v>
      </c>
      <c r="E30" s="77">
        <v>49.6652681189778</v>
      </c>
      <c r="F30" s="78"/>
      <c r="G30" s="77"/>
      <c r="H30" s="78"/>
      <c r="I30" s="66" t="s">
        <v>96</v>
      </c>
      <c r="J30" s="92"/>
      <c r="K30" s="135">
        <v>1900</v>
      </c>
      <c r="L30" s="120" t="s">
        <v>55</v>
      </c>
    </row>
    <row r="31" ht="18" spans="2:12">
      <c r="B31" s="66" t="s">
        <v>97</v>
      </c>
      <c r="C31" s="64" t="s">
        <v>98</v>
      </c>
      <c r="D31" s="75">
        <v>2.94516679166667</v>
      </c>
      <c r="E31" s="75">
        <v>3.33960608333333</v>
      </c>
      <c r="F31" s="78"/>
      <c r="G31" s="80"/>
      <c r="H31" s="78"/>
      <c r="I31" s="66" t="s">
        <v>99</v>
      </c>
      <c r="J31" s="92"/>
      <c r="K31" s="135"/>
      <c r="L31" s="120" t="s">
        <v>55</v>
      </c>
    </row>
    <row r="32" ht="18" spans="2:12">
      <c r="B32" s="66" t="s">
        <v>100</v>
      </c>
      <c r="C32" s="64" t="s">
        <v>98</v>
      </c>
      <c r="D32" s="75">
        <v>5.68333333333333</v>
      </c>
      <c r="E32" s="75">
        <v>5.71708333333333</v>
      </c>
      <c r="F32" s="78"/>
      <c r="G32" s="80"/>
      <c r="H32" s="78"/>
      <c r="I32" s="66" t="s">
        <v>66</v>
      </c>
      <c r="J32" s="92"/>
      <c r="K32" s="135">
        <v>1000</v>
      </c>
      <c r="L32" s="120" t="s">
        <v>55</v>
      </c>
    </row>
    <row r="33" spans="2:12">
      <c r="B33" s="66" t="s">
        <v>101</v>
      </c>
      <c r="C33" s="64" t="s">
        <v>102</v>
      </c>
      <c r="D33" s="77">
        <v>410.485833333333</v>
      </c>
      <c r="E33" s="77">
        <v>249.895833333333</v>
      </c>
      <c r="F33" s="78"/>
      <c r="G33" s="80"/>
      <c r="H33" s="78"/>
      <c r="I33" s="57" t="s">
        <v>103</v>
      </c>
      <c r="J33" s="64"/>
      <c r="K33" s="137">
        <v>3</v>
      </c>
      <c r="L33" s="120" t="s">
        <v>59</v>
      </c>
    </row>
    <row r="34" spans="2:12">
      <c r="B34" s="66" t="s">
        <v>104</v>
      </c>
      <c r="C34" s="64" t="s">
        <v>62</v>
      </c>
      <c r="D34" s="80">
        <v>0.312909090909091</v>
      </c>
      <c r="E34" s="80">
        <v>0.229375</v>
      </c>
      <c r="F34" s="78"/>
      <c r="G34" s="80"/>
      <c r="H34" s="78"/>
      <c r="I34" s="66" t="s">
        <v>105</v>
      </c>
      <c r="J34" s="64"/>
      <c r="K34" s="137">
        <v>8.25065126107595</v>
      </c>
      <c r="L34" s="120" t="s">
        <v>59</v>
      </c>
    </row>
    <row r="35" spans="2:12"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74.9871723212238</v>
      </c>
      <c r="L35" s="120" t="s">
        <v>59</v>
      </c>
    </row>
    <row r="36" spans="2:12"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7.6" spans="2:12"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239</v>
      </c>
      <c r="L38" s="120"/>
    </row>
    <row r="39" spans="2:12">
      <c r="B39" s="85" t="s">
        <v>111</v>
      </c>
      <c r="C39" s="64" t="s">
        <v>59</v>
      </c>
      <c r="D39" s="78">
        <v>58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8" spans="2:12"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51.31</v>
      </c>
    </row>
    <row r="41" ht="18" spans="2:12"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143" t="s">
        <v>116</v>
      </c>
      <c r="L41" s="887" t="s">
        <v>117</v>
      </c>
    </row>
    <row r="42" ht="18" spans="2:12"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143" t="s">
        <v>120</v>
      </c>
      <c r="L42" s="146">
        <v>0.291666666666667</v>
      </c>
    </row>
    <row r="43" ht="18" spans="2:12">
      <c r="B43" s="66" t="s">
        <v>121</v>
      </c>
      <c r="C43" s="64" t="s">
        <v>122</v>
      </c>
      <c r="D43" s="77">
        <v>550</v>
      </c>
      <c r="E43" s="77">
        <v>550</v>
      </c>
      <c r="F43" s="77"/>
      <c r="G43" s="78"/>
      <c r="H43" s="102"/>
      <c r="I43" s="66"/>
      <c r="J43" s="64" t="s">
        <v>123</v>
      </c>
      <c r="K43" s="144" t="s">
        <v>124</v>
      </c>
      <c r="L43" s="147">
        <v>9.39473684210526</v>
      </c>
    </row>
    <row r="44" spans="2:12">
      <c r="B44" s="66" t="s">
        <v>125</v>
      </c>
      <c r="C44" s="64" t="s">
        <v>122</v>
      </c>
      <c r="D44" s="77">
        <v>569</v>
      </c>
      <c r="E44" s="77">
        <v>569</v>
      </c>
      <c r="F44" s="77"/>
      <c r="G44" s="78"/>
      <c r="H44" s="102"/>
      <c r="I44" s="148" t="s">
        <v>126</v>
      </c>
      <c r="J44" s="64"/>
      <c r="K44" s="134"/>
      <c r="L44" s="120"/>
    </row>
    <row r="45" spans="2:12">
      <c r="B45" s="66" t="s">
        <v>127</v>
      </c>
      <c r="C45" s="64" t="s">
        <v>59</v>
      </c>
      <c r="D45" s="78">
        <v>42.5</v>
      </c>
      <c r="E45" s="78">
        <v>42.5</v>
      </c>
      <c r="F45" s="78"/>
      <c r="G45" s="78"/>
      <c r="H45" s="102"/>
      <c r="I45" s="64"/>
      <c r="J45" s="64"/>
      <c r="K45" s="143" t="s">
        <v>128</v>
      </c>
      <c r="L45" s="149" t="s">
        <v>129</v>
      </c>
    </row>
    <row r="46" spans="2:12">
      <c r="B46" s="66" t="s">
        <v>130</v>
      </c>
      <c r="C46" s="64" t="s">
        <v>59</v>
      </c>
      <c r="D46" s="78">
        <v>41.8</v>
      </c>
      <c r="E46" s="78">
        <v>41.8</v>
      </c>
      <c r="F46" s="78"/>
      <c r="G46" s="78"/>
      <c r="H46" s="102"/>
      <c r="I46" s="66"/>
      <c r="J46" s="64" t="s">
        <v>131</v>
      </c>
      <c r="K46" s="79">
        <v>172.333016166651</v>
      </c>
      <c r="L46" s="147">
        <f>K46*L40/100</f>
        <v>88.4240705951085</v>
      </c>
    </row>
    <row r="47" spans="2:12">
      <c r="B47" s="57" t="s">
        <v>132</v>
      </c>
      <c r="C47" s="56" t="s">
        <v>62</v>
      </c>
      <c r="D47" s="70" t="s">
        <v>318</v>
      </c>
      <c r="E47" s="70" t="s">
        <v>318</v>
      </c>
      <c r="F47" s="78"/>
      <c r="G47" s="78"/>
      <c r="H47" s="102"/>
      <c r="I47" s="66"/>
      <c r="J47" s="64" t="s">
        <v>134</v>
      </c>
      <c r="K47" s="79">
        <f>K46/K24*100/K25*100</f>
        <v>609.173475040763</v>
      </c>
      <c r="L47" s="147">
        <f>K47*L40/100</f>
        <v>312.566910043416</v>
      </c>
    </row>
    <row r="48" spans="2:12">
      <c r="B48" s="66" t="s">
        <v>135</v>
      </c>
      <c r="C48" s="64" t="s">
        <v>240</v>
      </c>
      <c r="D48" s="69">
        <v>4692.71113351254</v>
      </c>
      <c r="E48" s="69">
        <v>4395.17329109063</v>
      </c>
      <c r="F48" s="78"/>
      <c r="G48" s="78" t="s">
        <v>77</v>
      </c>
      <c r="H48" s="102"/>
      <c r="I48" s="148" t="s">
        <v>137</v>
      </c>
      <c r="J48" s="64"/>
      <c r="K48" s="134"/>
      <c r="L48" s="120"/>
    </row>
    <row r="49" spans="2:12">
      <c r="B49" s="57" t="s">
        <v>138</v>
      </c>
      <c r="C49" s="64" t="s">
        <v>240</v>
      </c>
      <c r="D49" s="69">
        <f>365*24*D50/100</f>
        <v>3919.94072727273</v>
      </c>
      <c r="E49" s="69">
        <f>365*24*E50/100</f>
        <v>3713.24018181818</v>
      </c>
      <c r="F49" s="78"/>
      <c r="G49" s="69"/>
      <c r="H49" s="98"/>
      <c r="I49" s="66"/>
      <c r="J49" s="64" t="s">
        <v>139</v>
      </c>
      <c r="K49" s="150">
        <v>12194.2540471326</v>
      </c>
      <c r="L49" s="231"/>
    </row>
    <row r="50" spans="2:12">
      <c r="B50" s="57" t="s">
        <v>140</v>
      </c>
      <c r="C50" s="64" t="s">
        <v>59</v>
      </c>
      <c r="D50" s="77">
        <f>2155967.4/365/24/D43*100</f>
        <v>44.7481818181818</v>
      </c>
      <c r="E50" s="77">
        <f>2042282.1/365/24/D43*100</f>
        <v>42.3885865504359</v>
      </c>
      <c r="F50" s="78"/>
      <c r="G50" s="78"/>
      <c r="H50" s="102"/>
      <c r="I50" s="66"/>
      <c r="J50" s="64" t="s">
        <v>141</v>
      </c>
      <c r="K50" s="150">
        <v>362.52771886047</v>
      </c>
      <c r="L50" s="120"/>
    </row>
    <row r="51" spans="2:12"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</row>
    <row r="52" spans="2:12"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</row>
    <row r="53" ht="17.6" spans="2:12"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</row>
    <row r="54" spans="2:12"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</row>
    <row r="55" spans="2:12">
      <c r="B55" s="66" t="s">
        <v>146</v>
      </c>
      <c r="C55" s="93">
        <v>433093.297571045</v>
      </c>
      <c r="D55" s="69">
        <v>9.73045973177596</v>
      </c>
      <c r="E55" s="111" t="s">
        <v>147</v>
      </c>
      <c r="F55" s="64"/>
      <c r="G55" s="64" t="s">
        <v>148</v>
      </c>
      <c r="H55" s="64"/>
      <c r="I55" s="69">
        <v>178339</v>
      </c>
      <c r="J55" s="69">
        <f>I55/4377593.74110829*100</f>
        <v>4.07390476474067</v>
      </c>
      <c r="K55" s="111" t="s">
        <v>149</v>
      </c>
      <c r="L55" s="114"/>
    </row>
    <row r="56" spans="2:12">
      <c r="B56" s="66"/>
      <c r="C56" s="69"/>
      <c r="D56" s="69"/>
      <c r="E56" s="111"/>
      <c r="F56" s="64"/>
      <c r="G56" s="64" t="s">
        <v>257</v>
      </c>
      <c r="H56" s="64"/>
      <c r="I56" s="69">
        <v>2567710.5</v>
      </c>
      <c r="J56" s="69">
        <f>I56/4377593.74110829*100</f>
        <v>58.6557513523382</v>
      </c>
      <c r="K56" s="111" t="s">
        <v>149</v>
      </c>
      <c r="L56" s="114"/>
    </row>
    <row r="57" spans="2:12">
      <c r="B57" s="66"/>
      <c r="C57" s="69"/>
      <c r="D57" s="69"/>
      <c r="E57" s="111"/>
      <c r="F57" s="64"/>
      <c r="G57" s="64" t="s">
        <v>554</v>
      </c>
      <c r="H57" s="64"/>
      <c r="I57" s="69">
        <f>2931259+1331631</f>
        <v>4262890</v>
      </c>
      <c r="J57" s="69">
        <f>I57/4377593.74110829*100</f>
        <v>97.3797536296904</v>
      </c>
      <c r="K57" s="111" t="s">
        <v>149</v>
      </c>
      <c r="L57" s="114"/>
    </row>
    <row r="58" spans="2:12"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60" spans="2:2">
      <c r="B60" t="s">
        <v>77</v>
      </c>
    </row>
  </sheetData>
  <mergeCells count="1">
    <mergeCell ref="B2:L2"/>
  </mergeCells>
  <pageMargins left="0.7" right="0.7" top="0.787401575" bottom="0.787401575" header="0.3" footer="0.3"/>
  <headerFooter/>
  <ignoredErrors>
    <ignoredError sqref="D18:E18 D15:E15" numberStoredAsText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B2:H60"/>
  <sheetViews>
    <sheetView zoomScale="85" zoomScaleNormal="85" workbookViewId="0">
      <selection activeCell="A1" sqref="A1"/>
    </sheetView>
  </sheetViews>
  <sheetFormatPr defaultColWidth="11.5" defaultRowHeight="16.8" outlineLevelCol="7"/>
  <sheetData>
    <row r="2" ht="34" spans="2:6">
      <c r="B2" t="s">
        <v>154</v>
      </c>
      <c r="C2" t="s">
        <v>155</v>
      </c>
      <c r="D2" t="s">
        <v>58</v>
      </c>
      <c r="E2" t="s">
        <v>157</v>
      </c>
      <c r="F2" s="48" t="s">
        <v>661</v>
      </c>
    </row>
    <row r="3" spans="3:6">
      <c r="C3" t="s">
        <v>59</v>
      </c>
      <c r="D3" t="s">
        <v>59</v>
      </c>
      <c r="E3" t="s">
        <v>59</v>
      </c>
      <c r="F3" t="s">
        <v>925</v>
      </c>
    </row>
    <row r="4" spans="2:6">
      <c r="B4" t="s">
        <v>177</v>
      </c>
      <c r="C4">
        <v>33.4098994853373</v>
      </c>
      <c r="D4">
        <v>50.2659666332769</v>
      </c>
      <c r="E4">
        <v>16.2861386480605</v>
      </c>
      <c r="F4">
        <v>38.6013333333333</v>
      </c>
    </row>
    <row r="5" spans="2:6">
      <c r="B5" t="s">
        <v>166</v>
      </c>
      <c r="C5">
        <v>34.1228794285618</v>
      </c>
      <c r="D5">
        <v>48.9226570528479</v>
      </c>
      <c r="E5">
        <v>16.922454893108</v>
      </c>
      <c r="F5">
        <v>38.2961290322581</v>
      </c>
    </row>
    <row r="6" spans="2:6">
      <c r="B6" t="s">
        <v>167</v>
      </c>
      <c r="C6">
        <v>35.1924182643694</v>
      </c>
      <c r="D6">
        <v>49.7254000039653</v>
      </c>
      <c r="E6">
        <v>15.0484763169895</v>
      </c>
      <c r="F6">
        <v>33.6246666666667</v>
      </c>
    </row>
    <row r="7" spans="2:6">
      <c r="B7" t="s">
        <v>168</v>
      </c>
      <c r="C7">
        <v>32.951380769149</v>
      </c>
      <c r="D7">
        <v>57.1228129849699</v>
      </c>
      <c r="E7">
        <v>9.8854142307447</v>
      </c>
      <c r="F7">
        <v>30.3477419354839</v>
      </c>
    </row>
    <row r="8" spans="2:6">
      <c r="B8" t="s">
        <v>169</v>
      </c>
      <c r="C8">
        <v>34.1383057025691</v>
      </c>
      <c r="D8">
        <v>50.8306754056991</v>
      </c>
      <c r="E8">
        <v>14.9924643370369</v>
      </c>
      <c r="F8">
        <v>36.8141935483871</v>
      </c>
    </row>
    <row r="9" spans="2:6">
      <c r="B9" t="s">
        <v>170</v>
      </c>
      <c r="C9">
        <v>33.6606970922396</v>
      </c>
      <c r="D9">
        <v>50.7798960138648</v>
      </c>
      <c r="E9">
        <v>15.5208935104949</v>
      </c>
      <c r="F9">
        <v>37.0928571428571</v>
      </c>
    </row>
    <row r="10" spans="2:6">
      <c r="B10" t="s">
        <v>171</v>
      </c>
      <c r="C10">
        <v>34.2102056094291</v>
      </c>
      <c r="D10">
        <v>49.7919532025279</v>
      </c>
      <c r="E10">
        <v>15.9560577308101</v>
      </c>
      <c r="F10">
        <v>37.0574193548387</v>
      </c>
    </row>
    <row r="11" spans="2:6">
      <c r="B11" t="s">
        <v>172</v>
      </c>
      <c r="C11">
        <v>35.3815375821663</v>
      </c>
      <c r="D11">
        <v>49.9857102029151</v>
      </c>
      <c r="E11">
        <v>14.5946460893589</v>
      </c>
      <c r="F11">
        <v>34.99</v>
      </c>
    </row>
    <row r="12" spans="2:6">
      <c r="B12" t="s">
        <v>173</v>
      </c>
      <c r="C12">
        <v>35.6619684852324</v>
      </c>
      <c r="D12">
        <v>50.4592604323383</v>
      </c>
      <c r="E12">
        <v>13.8372000950194</v>
      </c>
      <c r="F12">
        <v>32.5909677419355</v>
      </c>
    </row>
    <row r="13" spans="2:6">
      <c r="B13" t="s">
        <v>174</v>
      </c>
      <c r="C13">
        <v>34.4184321340519</v>
      </c>
      <c r="D13">
        <v>49.2985403530207</v>
      </c>
      <c r="E13">
        <v>16.2328453297842</v>
      </c>
      <c r="F13">
        <v>30.5553333333333</v>
      </c>
    </row>
    <row r="14" spans="2:6">
      <c r="B14" t="s">
        <v>175</v>
      </c>
      <c r="C14">
        <v>33.4099474054748</v>
      </c>
      <c r="D14">
        <v>46.3204538866112</v>
      </c>
      <c r="E14">
        <v>20.219903093552</v>
      </c>
      <c r="F14">
        <v>31.1574193548387</v>
      </c>
    </row>
    <row r="15" spans="2:6">
      <c r="B15" t="s">
        <v>176</v>
      </c>
      <c r="C15">
        <v>44.5450959589777</v>
      </c>
      <c r="D15">
        <v>28.4816583017097</v>
      </c>
      <c r="E15">
        <v>26.9174793596387</v>
      </c>
      <c r="F15">
        <v>23.7164516129032</v>
      </c>
    </row>
    <row r="28" spans="2:3">
      <c r="B28" t="s">
        <v>104</v>
      </c>
      <c r="C28" t="s">
        <v>22</v>
      </c>
    </row>
    <row r="29" spans="3:3">
      <c r="C29" t="s">
        <v>62</v>
      </c>
    </row>
    <row r="31" spans="2:3">
      <c r="B31" t="s">
        <v>177</v>
      </c>
      <c r="C31">
        <v>0.3665</v>
      </c>
    </row>
    <row r="32" spans="2:3">
      <c r="B32" t="s">
        <v>166</v>
      </c>
      <c r="C32">
        <v>0.3365</v>
      </c>
    </row>
    <row r="33" spans="2:3">
      <c r="B33" t="s">
        <v>167</v>
      </c>
      <c r="C33">
        <v>0.354</v>
      </c>
    </row>
    <row r="34" spans="2:3">
      <c r="B34" t="s">
        <v>168</v>
      </c>
      <c r="C34">
        <v>0.3395</v>
      </c>
    </row>
    <row r="35" spans="2:3">
      <c r="B35" t="s">
        <v>169</v>
      </c>
      <c r="C35">
        <v>0.3515</v>
      </c>
    </row>
    <row r="36" spans="2:3">
      <c r="B36" t="s">
        <v>170</v>
      </c>
      <c r="C36">
        <v>0.355</v>
      </c>
    </row>
    <row r="37" spans="2:3">
      <c r="B37" t="s">
        <v>171</v>
      </c>
      <c r="C37">
        <v>0.353</v>
      </c>
    </row>
    <row r="38" spans="2:3">
      <c r="B38" t="s">
        <v>172</v>
      </c>
      <c r="C38">
        <v>0.3325</v>
      </c>
    </row>
    <row r="39" spans="2:3">
      <c r="B39" t="s">
        <v>173</v>
      </c>
      <c r="C39">
        <v>0.351</v>
      </c>
    </row>
    <row r="40" spans="2:3">
      <c r="B40" t="s">
        <v>174</v>
      </c>
      <c r="C40">
        <v>0.2995</v>
      </c>
    </row>
    <row r="41" spans="2:3">
      <c r="B41" t="s">
        <v>175</v>
      </c>
      <c r="C41">
        <v>0.3695</v>
      </c>
    </row>
    <row r="42" spans="2:3">
      <c r="B42" t="s">
        <v>176</v>
      </c>
      <c r="C42">
        <v>0.3</v>
      </c>
    </row>
    <row r="47" spans="3:8"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184</v>
      </c>
    </row>
    <row r="48" spans="2:6">
      <c r="B48" t="s">
        <v>154</v>
      </c>
      <c r="C48" t="s">
        <v>185</v>
      </c>
      <c r="D48" t="s">
        <v>185</v>
      </c>
      <c r="E48" t="s">
        <v>122</v>
      </c>
      <c r="F48" t="s">
        <v>122</v>
      </c>
    </row>
    <row r="49" spans="2:8">
      <c r="B49" t="s">
        <v>177</v>
      </c>
      <c r="C49">
        <v>489.755555555556</v>
      </c>
      <c r="D49">
        <v>516.91125</v>
      </c>
      <c r="E49" t="s">
        <v>948</v>
      </c>
      <c r="F49">
        <v>517.828235294118</v>
      </c>
      <c r="G49">
        <v>98.1787749287749</v>
      </c>
      <c r="H49">
        <v>94.5787661187271</v>
      </c>
    </row>
    <row r="50" spans="2:8">
      <c r="B50" t="s">
        <v>166</v>
      </c>
      <c r="C50">
        <v>537.588709677419</v>
      </c>
      <c r="D50">
        <v>526.817473118279</v>
      </c>
      <c r="E50" t="s">
        <v>948</v>
      </c>
      <c r="F50">
        <v>517.828235294118</v>
      </c>
      <c r="G50">
        <v>100.060298787897</v>
      </c>
      <c r="H50">
        <v>103.816028759436</v>
      </c>
    </row>
    <row r="51" spans="2:8">
      <c r="B51" t="s">
        <v>167</v>
      </c>
      <c r="C51">
        <v>660.583680555556</v>
      </c>
      <c r="D51">
        <v>516.833472222221</v>
      </c>
      <c r="E51" t="s">
        <v>948</v>
      </c>
      <c r="F51">
        <v>517.828235294118</v>
      </c>
      <c r="G51">
        <v>98.1640023214095</v>
      </c>
      <c r="H51">
        <v>127.568107633288</v>
      </c>
    </row>
    <row r="52" spans="2:8">
      <c r="B52" t="s">
        <v>168</v>
      </c>
      <c r="C52">
        <v>703.153561827957</v>
      </c>
      <c r="D52">
        <v>453.61572580645</v>
      </c>
      <c r="E52" t="s">
        <v>948</v>
      </c>
      <c r="F52">
        <v>517.828235294118</v>
      </c>
      <c r="G52">
        <v>86.1568330116714</v>
      </c>
      <c r="H52">
        <v>135.788957399856</v>
      </c>
    </row>
    <row r="53" spans="2:8">
      <c r="B53" t="s">
        <v>169</v>
      </c>
      <c r="C53">
        <v>669.545698924731</v>
      </c>
      <c r="D53">
        <v>535.500425</v>
      </c>
      <c r="E53" t="s">
        <v>948</v>
      </c>
      <c r="F53">
        <v>517.828235294118</v>
      </c>
      <c r="G53">
        <v>101.709482431149</v>
      </c>
      <c r="H53">
        <v>129.298800893783</v>
      </c>
    </row>
    <row r="54" spans="2:8">
      <c r="B54" t="s">
        <v>170</v>
      </c>
      <c r="C54">
        <v>996.193452380952</v>
      </c>
      <c r="D54">
        <v>560.730056451613</v>
      </c>
      <c r="E54" t="s">
        <v>948</v>
      </c>
      <c r="F54">
        <v>517.828235294118</v>
      </c>
      <c r="G54">
        <v>106.501435223478</v>
      </c>
      <c r="H54">
        <v>192.379129696381</v>
      </c>
    </row>
    <row r="55" spans="2:8">
      <c r="B55" t="s">
        <v>171</v>
      </c>
      <c r="C55">
        <v>809.868279569892</v>
      </c>
      <c r="D55">
        <v>545.263346774192</v>
      </c>
      <c r="E55" t="s">
        <v>948</v>
      </c>
      <c r="F55">
        <v>517.828235294118</v>
      </c>
      <c r="G55">
        <v>103.5637885611</v>
      </c>
      <c r="H55">
        <v>156.397087754379</v>
      </c>
    </row>
    <row r="56" spans="2:8">
      <c r="B56" t="s">
        <v>172</v>
      </c>
      <c r="C56">
        <v>622.650347222222</v>
      </c>
      <c r="D56">
        <v>536.981056451613</v>
      </c>
      <c r="E56" t="s">
        <v>948</v>
      </c>
      <c r="F56">
        <v>517.828235294118</v>
      </c>
      <c r="G56">
        <v>101.990703979414</v>
      </c>
      <c r="H56">
        <v>120.242641243494</v>
      </c>
    </row>
    <row r="57" spans="2:8">
      <c r="B57" t="s">
        <v>173</v>
      </c>
      <c r="C57">
        <v>534.897849462366</v>
      </c>
      <c r="D57">
        <v>505.27427419355</v>
      </c>
      <c r="E57" t="s">
        <v>948</v>
      </c>
      <c r="F57">
        <v>517.828235294118</v>
      </c>
      <c r="G57">
        <v>95.9685231136847</v>
      </c>
      <c r="H57">
        <v>103.296385365806</v>
      </c>
    </row>
    <row r="58" spans="2:8">
      <c r="B58" t="s">
        <v>174</v>
      </c>
      <c r="C58">
        <v>520.976041666667</v>
      </c>
      <c r="D58">
        <v>481.854854838708</v>
      </c>
      <c r="E58" t="s">
        <v>948</v>
      </c>
      <c r="F58">
        <v>517.828235294118</v>
      </c>
      <c r="G58">
        <v>91.5203902827556</v>
      </c>
      <c r="H58">
        <v>100.607886198164</v>
      </c>
    </row>
    <row r="59" spans="2:8">
      <c r="B59" t="s">
        <v>175</v>
      </c>
      <c r="C59">
        <v>523.721102150538</v>
      </c>
      <c r="D59">
        <v>468.812016129033</v>
      </c>
      <c r="E59" t="s">
        <v>948</v>
      </c>
      <c r="F59">
        <v>517.828235294118</v>
      </c>
      <c r="G59">
        <v>89.0431179732257</v>
      </c>
      <c r="H59">
        <v>101.137996434874</v>
      </c>
    </row>
    <row r="60" spans="2:8">
      <c r="B60" t="s">
        <v>176</v>
      </c>
      <c r="C60">
        <v>492.558467741935</v>
      </c>
      <c r="D60">
        <v>448.533072580646</v>
      </c>
      <c r="E60" t="s">
        <v>948</v>
      </c>
      <c r="F60">
        <v>517.828235294118</v>
      </c>
      <c r="G60">
        <v>85.1914667769508</v>
      </c>
      <c r="H60">
        <v>95.1200483423177</v>
      </c>
    </row>
  </sheetData>
  <pageMargins left="0.7" right="0.7" top="0.787401575" bottom="0.787401575" header="0.3" footer="0.3"/>
  <headerFooter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A1:M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943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1100</v>
      </c>
      <c r="G3" s="22"/>
      <c r="H3" s="23" t="s">
        <v>187</v>
      </c>
      <c r="I3" s="5" t="s">
        <v>188</v>
      </c>
      <c r="J3" s="35">
        <v>4592168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527</v>
      </c>
      <c r="G4" s="216"/>
      <c r="H4" s="25" t="s">
        <v>187</v>
      </c>
      <c r="I4" s="7" t="s">
        <v>191</v>
      </c>
      <c r="J4" s="37">
        <v>2655471.39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92.0164851007915</v>
      </c>
      <c r="H6" s="27" t="s">
        <v>195</v>
      </c>
      <c r="I6" s="1"/>
      <c r="J6" s="40">
        <v>1055714.28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7.98351489920849</v>
      </c>
      <c r="H7" s="27" t="s">
        <v>195</v>
      </c>
      <c r="I7" s="1"/>
      <c r="J7" s="40">
        <v>91595.66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</v>
      </c>
      <c r="H8" s="27" t="s">
        <v>195</v>
      </c>
      <c r="I8" s="1"/>
      <c r="J8" s="40">
        <v>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1147309.94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44.3812926069111</v>
      </c>
      <c r="H11" s="27" t="s">
        <v>195</v>
      </c>
      <c r="I11" s="1"/>
      <c r="J11" s="40">
        <v>343439.6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37.1</v>
      </c>
      <c r="F13" s="15" t="s">
        <v>204</v>
      </c>
      <c r="G13" s="31"/>
      <c r="H13" s="15"/>
      <c r="I13" s="15"/>
      <c r="J13" s="45">
        <v>255099.6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25</v>
      </c>
      <c r="F14" s="15" t="s">
        <v>204</v>
      </c>
      <c r="G14" s="31"/>
      <c r="H14" s="15"/>
      <c r="I14" s="15"/>
      <c r="J14" s="45">
        <v>54500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1.40272133728754</v>
      </c>
      <c r="H16" s="27" t="s">
        <v>195</v>
      </c>
      <c r="I16" s="1"/>
      <c r="J16" s="40">
        <v>10854.8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10.7718267784657</v>
      </c>
      <c r="H17" s="27" t="s">
        <v>195</v>
      </c>
      <c r="I17" s="1"/>
      <c r="J17" s="40">
        <v>83356.56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23.4602365304416</v>
      </c>
      <c r="H18" s="27" t="s">
        <v>195</v>
      </c>
      <c r="I18" s="1"/>
      <c r="J18" s="40">
        <v>181544.38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19.983922746894</v>
      </c>
      <c r="H19" s="27" t="s">
        <v>195</v>
      </c>
      <c r="I19" s="1"/>
      <c r="J19" s="40">
        <v>154643.32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3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101744.96</v>
      </c>
      <c r="K22" s="44" t="s">
        <v>196</v>
      </c>
      <c r="L22" s="17"/>
      <c r="M22" t="s">
        <v>77</v>
      </c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6000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11233.29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587.6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8724.9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540</v>
      </c>
      <c r="E29" s="15"/>
      <c r="F29" s="15"/>
      <c r="G29" s="31"/>
      <c r="H29" s="15"/>
      <c r="I29" s="15"/>
      <c r="J29" s="45">
        <v>20325.78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5187.53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839.26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773838.66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24.9840585100545</v>
      </c>
      <c r="K34" s="41" t="s">
        <v>226</v>
      </c>
      <c r="L34" s="1"/>
    </row>
    <row r="35" ht="21.75" customHeight="1" spans="1:13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16.8512706852188</v>
      </c>
      <c r="K35" s="41" t="s">
        <v>226</v>
      </c>
      <c r="L35" s="1"/>
      <c r="M35" t="s">
        <v>77</v>
      </c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8.13278782483568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373471.28</v>
      </c>
      <c r="K37" s="43" t="s">
        <v>196</v>
      </c>
      <c r="L37" s="12"/>
    </row>
    <row r="38" ht="21.75" customHeight="1" spans="1:12">
      <c r="A38" s="1"/>
      <c r="B38" s="19" t="s">
        <v>541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-0.249977111117893"/>
  </sheetPr>
  <dimension ref="B2:L57"/>
  <sheetViews>
    <sheetView zoomScale="115" zoomScaleNormal="115" workbookViewId="0">
      <selection activeCell="A1" sqref="A1"/>
    </sheetView>
  </sheetViews>
  <sheetFormatPr defaultColWidth="11.5" defaultRowHeight="16.8"/>
  <cols>
    <col min="2" max="2" width="28.3365384615385" customWidth="1"/>
    <col min="4" max="4" width="16.3365384615385" customWidth="1"/>
    <col min="5" max="5" width="16.6634615384615" customWidth="1"/>
    <col min="6" max="6" width="15.6634615384615" customWidth="1"/>
    <col min="8" max="8" width="14.8365384615385" customWidth="1"/>
    <col min="10" max="10" width="14.1634615384615" customWidth="1"/>
  </cols>
  <sheetData>
    <row r="2" ht="30.75" customHeight="1" spans="2:12">
      <c r="B2" s="49" t="s">
        <v>949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58" t="s">
        <v>950</v>
      </c>
      <c r="D4" s="58"/>
      <c r="E4" s="95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232">
        <v>2006</v>
      </c>
      <c r="D5" s="232"/>
      <c r="E5" s="95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5" t="s">
        <v>815</v>
      </c>
      <c r="D6" s="55"/>
      <c r="E6" s="5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55" t="s">
        <v>369</v>
      </c>
      <c r="D7" s="55"/>
      <c r="E7" s="5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55" t="s">
        <v>441</v>
      </c>
      <c r="D8" s="55"/>
      <c r="E8" s="5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5" t="s">
        <v>281</v>
      </c>
      <c r="D9" s="55"/>
      <c r="E9" s="56"/>
      <c r="F9" s="56"/>
      <c r="G9" s="56"/>
      <c r="H9" s="56"/>
      <c r="I9" s="56"/>
      <c r="J9" s="56"/>
      <c r="K9" s="56"/>
      <c r="L9" s="114"/>
    </row>
    <row r="10" spans="2:12">
      <c r="B10" s="60" t="s">
        <v>232</v>
      </c>
      <c r="C10" s="55" t="s">
        <v>559</v>
      </c>
      <c r="D10" s="55"/>
      <c r="E10" s="5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spans="2:12">
      <c r="B13" s="66" t="s">
        <v>233</v>
      </c>
      <c r="C13" s="64"/>
      <c r="D13" s="67" t="s">
        <v>22</v>
      </c>
      <c r="E13" s="67" t="s">
        <v>23</v>
      </c>
      <c r="F13" s="67" t="s">
        <v>23</v>
      </c>
      <c r="G13" s="67"/>
      <c r="H13" s="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68">
        <v>1</v>
      </c>
      <c r="E14" s="68">
        <v>1</v>
      </c>
      <c r="F14" s="68">
        <v>1</v>
      </c>
      <c r="G14" s="68"/>
      <c r="H14" s="64"/>
      <c r="I14" s="57" t="s">
        <v>248</v>
      </c>
      <c r="J14" s="64"/>
      <c r="K14" s="233">
        <v>19339.3472043011</v>
      </c>
      <c r="L14" s="120" t="s">
        <v>28</v>
      </c>
    </row>
    <row r="15" spans="2:12">
      <c r="B15" s="66" t="s">
        <v>54</v>
      </c>
      <c r="C15" s="64" t="s">
        <v>55</v>
      </c>
      <c r="D15" s="69">
        <v>6107</v>
      </c>
      <c r="E15" s="69">
        <v>6805</v>
      </c>
      <c r="F15" s="69">
        <v>6805</v>
      </c>
      <c r="G15" s="69"/>
      <c r="H15" s="98">
        <v>12912</v>
      </c>
      <c r="I15" s="57" t="s">
        <v>249</v>
      </c>
      <c r="J15" s="64"/>
      <c r="K15" s="234">
        <v>52.9845128884961</v>
      </c>
      <c r="L15" s="120" t="s">
        <v>56</v>
      </c>
    </row>
    <row r="16" spans="2:12">
      <c r="B16" s="66" t="s">
        <v>234</v>
      </c>
      <c r="C16" s="64" t="s">
        <v>55</v>
      </c>
      <c r="D16" s="69">
        <v>6000</v>
      </c>
      <c r="E16" s="69">
        <v>6238</v>
      </c>
      <c r="F16" s="69">
        <v>6238</v>
      </c>
      <c r="G16" s="69"/>
      <c r="H16" s="98">
        <v>12238</v>
      </c>
      <c r="I16" s="56" t="s">
        <v>157</v>
      </c>
      <c r="J16" s="56"/>
      <c r="K16" s="235">
        <v>35.9435779289767</v>
      </c>
      <c r="L16" s="123" t="s">
        <v>59</v>
      </c>
    </row>
    <row r="17" spans="2:12"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/>
      <c r="H17" s="98"/>
      <c r="I17" s="56" t="s">
        <v>155</v>
      </c>
      <c r="J17" s="56"/>
      <c r="K17" s="235">
        <v>36.4333910838157</v>
      </c>
      <c r="L17" s="123" t="s">
        <v>59</v>
      </c>
    </row>
    <row r="18" spans="2:12">
      <c r="B18" s="57" t="s">
        <v>66</v>
      </c>
      <c r="C18" s="56" t="s">
        <v>55</v>
      </c>
      <c r="D18" s="69">
        <v>3000</v>
      </c>
      <c r="E18" s="69">
        <v>3500</v>
      </c>
      <c r="F18" s="69">
        <v>3500</v>
      </c>
      <c r="G18" s="71"/>
      <c r="H18" s="98">
        <v>6500</v>
      </c>
      <c r="I18" s="56" t="s">
        <v>67</v>
      </c>
      <c r="J18" s="56"/>
      <c r="K18" s="235">
        <v>27.8716232924409</v>
      </c>
      <c r="L18" s="123" t="s">
        <v>59</v>
      </c>
    </row>
    <row r="19" spans="2:12">
      <c r="B19" s="57"/>
      <c r="C19" s="56"/>
      <c r="D19" s="70"/>
      <c r="E19" s="70"/>
      <c r="F19" s="70"/>
      <c r="G19" s="70"/>
      <c r="H19" s="100"/>
      <c r="I19" s="56"/>
      <c r="J19" s="56"/>
      <c r="K19" s="236"/>
      <c r="L19" s="123"/>
    </row>
    <row r="20" ht="17.6" spans="2:12">
      <c r="B20" s="72" t="s">
        <v>69</v>
      </c>
      <c r="C20" s="73"/>
      <c r="D20" s="74"/>
      <c r="E20" s="74"/>
      <c r="F20" s="74"/>
      <c r="G20" s="74"/>
      <c r="H20" s="101"/>
      <c r="I20" s="56"/>
      <c r="J20" s="56"/>
      <c r="K20" s="236"/>
      <c r="L20" s="123"/>
    </row>
    <row r="21" spans="2:12">
      <c r="B21" s="66" t="s">
        <v>71</v>
      </c>
      <c r="C21" s="64" t="s">
        <v>59</v>
      </c>
      <c r="D21" s="75">
        <v>8.24056941567345</v>
      </c>
      <c r="E21" s="75">
        <v>7.78647229566394</v>
      </c>
      <c r="F21" s="75">
        <v>7.78647229566394</v>
      </c>
      <c r="G21" s="77"/>
      <c r="H21" s="102"/>
      <c r="I21" s="56"/>
      <c r="J21" s="56"/>
      <c r="K21" s="236"/>
      <c r="L21" s="123"/>
    </row>
    <row r="22" spans="2:12">
      <c r="B22" s="66" t="s">
        <v>73</v>
      </c>
      <c r="C22" s="64" t="s">
        <v>59</v>
      </c>
      <c r="D22" s="75">
        <v>67.768001185137</v>
      </c>
      <c r="E22" s="75">
        <v>66.2016257143019</v>
      </c>
      <c r="F22" s="75">
        <v>66.2016257143019</v>
      </c>
      <c r="G22" s="77"/>
      <c r="H22" s="78"/>
      <c r="I22" s="57"/>
      <c r="J22" s="56"/>
      <c r="K22" s="236"/>
      <c r="L22" s="123"/>
    </row>
    <row r="23" ht="18" spans="2:12">
      <c r="B23" s="66" t="s">
        <v>74</v>
      </c>
      <c r="C23" s="76" t="s">
        <v>75</v>
      </c>
      <c r="D23" s="77"/>
      <c r="E23" s="77"/>
      <c r="F23" s="77"/>
      <c r="G23" s="78"/>
      <c r="H23" s="103" t="s">
        <v>299</v>
      </c>
      <c r="I23" s="125" t="s">
        <v>76</v>
      </c>
      <c r="J23" s="56"/>
      <c r="K23" s="237"/>
      <c r="L23" s="123"/>
    </row>
    <row r="24" ht="18" spans="2:12">
      <c r="B24" s="66" t="s">
        <v>78</v>
      </c>
      <c r="C24" s="56" t="s">
        <v>79</v>
      </c>
      <c r="D24" s="77"/>
      <c r="E24" s="77"/>
      <c r="F24" s="77"/>
      <c r="G24" s="78"/>
      <c r="H24" s="104" t="s">
        <v>951</v>
      </c>
      <c r="I24" s="127" t="s">
        <v>80</v>
      </c>
      <c r="J24" s="56"/>
      <c r="K24" s="122">
        <v>26.1438864946496</v>
      </c>
      <c r="L24" s="123" t="s">
        <v>59</v>
      </c>
    </row>
    <row r="25" ht="18" spans="2:12">
      <c r="B25" s="57" t="s">
        <v>81</v>
      </c>
      <c r="C25" s="56" t="s">
        <v>59</v>
      </c>
      <c r="D25" s="77"/>
      <c r="E25" s="77"/>
      <c r="F25" s="77"/>
      <c r="G25" s="77"/>
      <c r="H25" s="104" t="s">
        <v>947</v>
      </c>
      <c r="I25" s="128" t="s">
        <v>83</v>
      </c>
      <c r="J25" s="56"/>
      <c r="K25" s="122">
        <v>87.0513218754412</v>
      </c>
      <c r="L25" s="123" t="s">
        <v>59</v>
      </c>
    </row>
    <row r="26" ht="18" spans="2:12">
      <c r="B26" s="57" t="s">
        <v>84</v>
      </c>
      <c r="C26" s="56" t="s">
        <v>59</v>
      </c>
      <c r="D26" s="78"/>
      <c r="E26" s="78"/>
      <c r="F26" s="78"/>
      <c r="G26" s="78"/>
      <c r="H26" s="105" t="s">
        <v>952</v>
      </c>
      <c r="I26" s="57" t="s">
        <v>86</v>
      </c>
      <c r="J26" s="56"/>
      <c r="K26" s="122">
        <v>50.4027952296591</v>
      </c>
      <c r="L26" s="123" t="s">
        <v>59</v>
      </c>
    </row>
    <row r="27" ht="18" spans="2:12">
      <c r="B27" s="57" t="s">
        <v>87</v>
      </c>
      <c r="C27" s="56" t="s">
        <v>88</v>
      </c>
      <c r="D27" s="78"/>
      <c r="E27" s="78"/>
      <c r="F27" s="78"/>
      <c r="G27" s="78"/>
      <c r="H27" s="103" t="s">
        <v>953</v>
      </c>
      <c r="I27" s="129"/>
      <c r="J27" s="130"/>
      <c r="K27" s="131"/>
      <c r="L27" s="132"/>
    </row>
    <row r="28" ht="18" spans="2:12">
      <c r="B28" s="57" t="s">
        <v>90</v>
      </c>
      <c r="C28" s="56" t="s">
        <v>91</v>
      </c>
      <c r="D28" s="78"/>
      <c r="E28" s="78"/>
      <c r="F28" s="78"/>
      <c r="G28" s="78"/>
      <c r="H28" s="103" t="s">
        <v>378</v>
      </c>
      <c r="I28" s="63" t="s">
        <v>93</v>
      </c>
      <c r="J28" s="133"/>
      <c r="K28" s="134"/>
      <c r="L28" s="120"/>
    </row>
    <row r="29" spans="2:12">
      <c r="B29" s="66" t="s">
        <v>32</v>
      </c>
      <c r="C29" s="56" t="s">
        <v>62</v>
      </c>
      <c r="D29" s="75">
        <v>7.89777777777778</v>
      </c>
      <c r="E29" s="75">
        <v>7.9975</v>
      </c>
      <c r="F29" s="75">
        <v>7.9975</v>
      </c>
      <c r="G29" s="80"/>
      <c r="H29" s="78"/>
      <c r="I29" s="66" t="s">
        <v>26</v>
      </c>
      <c r="J29" s="64"/>
      <c r="K29" s="134">
        <v>1</v>
      </c>
      <c r="L29" s="120"/>
    </row>
    <row r="30" spans="2:12">
      <c r="B30" s="66" t="s">
        <v>94</v>
      </c>
      <c r="C30" s="56" t="s">
        <v>95</v>
      </c>
      <c r="D30" s="77">
        <v>38.25</v>
      </c>
      <c r="E30" s="77"/>
      <c r="F30" s="77"/>
      <c r="G30" s="77"/>
      <c r="H30" s="78"/>
      <c r="I30" s="66" t="s">
        <v>96</v>
      </c>
      <c r="J30" s="92"/>
      <c r="K30" s="135">
        <v>2356</v>
      </c>
      <c r="L30" s="120" t="s">
        <v>55</v>
      </c>
    </row>
    <row r="31" ht="18" spans="2:12">
      <c r="B31" s="66" t="s">
        <v>97</v>
      </c>
      <c r="C31" s="64" t="s">
        <v>98</v>
      </c>
      <c r="D31" s="75">
        <v>3.97475254166667</v>
      </c>
      <c r="E31" s="75">
        <v>4.15649422222222</v>
      </c>
      <c r="F31" s="75">
        <v>4.15649422222222</v>
      </c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8" spans="2:12">
      <c r="B32" s="66" t="s">
        <v>100</v>
      </c>
      <c r="C32" s="64" t="s">
        <v>98</v>
      </c>
      <c r="D32" s="75">
        <v>5.54333333333333</v>
      </c>
      <c r="E32" s="75">
        <v>5.86986111111111</v>
      </c>
      <c r="F32" s="75">
        <v>5.86986111111111</v>
      </c>
      <c r="G32" s="80"/>
      <c r="H32" s="78"/>
      <c r="I32" s="66" t="s">
        <v>66</v>
      </c>
      <c r="J32" s="92"/>
      <c r="K32" s="135">
        <v>1500</v>
      </c>
      <c r="L32" s="120" t="s">
        <v>55</v>
      </c>
    </row>
    <row r="33" spans="2:12">
      <c r="B33" s="66" t="s">
        <v>101</v>
      </c>
      <c r="C33" s="64" t="s">
        <v>102</v>
      </c>
      <c r="D33" s="69">
        <v>1013</v>
      </c>
      <c r="E33" s="77">
        <v>149.269692305832</v>
      </c>
      <c r="F33" s="77">
        <v>149.269692305832</v>
      </c>
      <c r="G33" s="80"/>
      <c r="H33" s="78"/>
      <c r="I33" s="57" t="s">
        <v>103</v>
      </c>
      <c r="J33" s="64"/>
      <c r="K33" s="136">
        <v>4.1</v>
      </c>
      <c r="L33" s="120" t="s">
        <v>59</v>
      </c>
    </row>
    <row r="34" spans="2:12">
      <c r="B34" s="66" t="s">
        <v>104</v>
      </c>
      <c r="C34" s="64" t="s">
        <v>62</v>
      </c>
      <c r="D34" s="80">
        <v>0.256236328815492</v>
      </c>
      <c r="E34" s="80">
        <v>0.194059608891822</v>
      </c>
      <c r="F34" s="80">
        <v>0.194059608891822</v>
      </c>
      <c r="G34" s="80"/>
      <c r="H34" s="78"/>
      <c r="I34" s="66" t="s">
        <v>105</v>
      </c>
      <c r="J34" s="64"/>
      <c r="K34" s="137">
        <v>4.92057357699643</v>
      </c>
      <c r="L34" s="120" t="s">
        <v>59</v>
      </c>
    </row>
    <row r="35" spans="2:12"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63.7511422153005</v>
      </c>
      <c r="L35" s="120" t="s">
        <v>59</v>
      </c>
    </row>
    <row r="36" spans="2:12">
      <c r="B36" s="81"/>
      <c r="C36" s="64"/>
      <c r="D36" s="64"/>
      <c r="E36" s="80"/>
      <c r="F36" s="78"/>
      <c r="G36" s="78"/>
      <c r="H36" s="78"/>
      <c r="I36" s="129"/>
      <c r="J36" s="70"/>
      <c r="K36" s="238"/>
      <c r="L36" s="132"/>
    </row>
    <row r="37" ht="17.6" spans="2:12"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spans="2:12">
      <c r="B39" s="85" t="s">
        <v>111</v>
      </c>
      <c r="C39" s="64" t="s">
        <v>59</v>
      </c>
      <c r="D39" s="78">
        <v>58</v>
      </c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8" spans="2:12"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51.5416666666667</v>
      </c>
    </row>
    <row r="41" ht="18" spans="2:12">
      <c r="B41" s="86"/>
      <c r="C41" s="77"/>
      <c r="D41" s="67" t="s">
        <v>115</v>
      </c>
      <c r="E41" s="67" t="s">
        <v>273</v>
      </c>
      <c r="F41" s="67" t="s">
        <v>315</v>
      </c>
      <c r="G41" s="67"/>
      <c r="H41" s="67"/>
      <c r="I41" s="66"/>
      <c r="J41" s="64" t="s">
        <v>113</v>
      </c>
      <c r="K41" s="143" t="s">
        <v>116</v>
      </c>
      <c r="L41" s="145">
        <v>44.4916666666667</v>
      </c>
    </row>
    <row r="42" ht="18" spans="2:12"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/>
      <c r="H42" s="102"/>
      <c r="I42" s="66"/>
      <c r="J42" s="64" t="s">
        <v>113</v>
      </c>
      <c r="K42" s="143" t="s">
        <v>120</v>
      </c>
      <c r="L42" s="146">
        <v>0.7</v>
      </c>
    </row>
    <row r="43" ht="18" spans="2:12">
      <c r="B43" s="66" t="s">
        <v>121</v>
      </c>
      <c r="C43" s="64" t="s">
        <v>122</v>
      </c>
      <c r="D43" s="77">
        <v>550</v>
      </c>
      <c r="E43" s="77">
        <v>550</v>
      </c>
      <c r="F43" s="77">
        <v>550</v>
      </c>
      <c r="G43" s="78"/>
      <c r="H43" s="102"/>
      <c r="I43" s="66"/>
      <c r="J43" s="64" t="s">
        <v>123</v>
      </c>
      <c r="K43" s="144" t="s">
        <v>124</v>
      </c>
      <c r="L43" s="889" t="s">
        <v>117</v>
      </c>
    </row>
    <row r="44" spans="2:12">
      <c r="B44" s="66" t="s">
        <v>125</v>
      </c>
      <c r="C44" s="64" t="s">
        <v>122</v>
      </c>
      <c r="D44" s="77">
        <v>543</v>
      </c>
      <c r="E44" s="77">
        <v>543</v>
      </c>
      <c r="F44" s="77">
        <v>543</v>
      </c>
      <c r="G44" s="78"/>
      <c r="H44" s="102"/>
      <c r="I44" s="148" t="s">
        <v>126</v>
      </c>
      <c r="J44" s="64"/>
      <c r="K44" s="134"/>
      <c r="L44" s="120"/>
    </row>
    <row r="45" spans="2:12">
      <c r="B45" s="66" t="s">
        <v>127</v>
      </c>
      <c r="C45" s="64" t="s">
        <v>59</v>
      </c>
      <c r="D45" s="78">
        <v>42.5</v>
      </c>
      <c r="E45" s="78">
        <v>42.5</v>
      </c>
      <c r="F45" s="78">
        <v>42.5</v>
      </c>
      <c r="G45" s="78"/>
      <c r="H45" s="102"/>
      <c r="I45" s="64"/>
      <c r="J45" s="64"/>
      <c r="K45" s="143" t="s">
        <v>128</v>
      </c>
      <c r="L45" s="149" t="s">
        <v>129</v>
      </c>
    </row>
    <row r="46" spans="2:12">
      <c r="B46" s="66" t="s">
        <v>130</v>
      </c>
      <c r="C46" s="64" t="s">
        <v>59</v>
      </c>
      <c r="D46" s="78">
        <v>41.8</v>
      </c>
      <c r="E46" s="78">
        <v>41.8</v>
      </c>
      <c r="F46" s="78">
        <v>41.8</v>
      </c>
      <c r="G46" s="78"/>
      <c r="H46" s="102"/>
      <c r="I46" s="66"/>
      <c r="J46" s="64" t="s">
        <v>131</v>
      </c>
      <c r="K46" s="79">
        <v>150.807377442328</v>
      </c>
      <c r="L46" s="147">
        <f>K46*L40/100</f>
        <v>77.7286357900663</v>
      </c>
    </row>
    <row r="47" spans="2:12">
      <c r="B47" s="57" t="s">
        <v>132</v>
      </c>
      <c r="C47" s="56" t="s">
        <v>62</v>
      </c>
      <c r="D47" s="70" t="s">
        <v>318</v>
      </c>
      <c r="E47" s="70" t="s">
        <v>318</v>
      </c>
      <c r="F47" s="70" t="s">
        <v>318</v>
      </c>
      <c r="G47" s="78"/>
      <c r="H47" s="102"/>
      <c r="I47" s="66"/>
      <c r="J47" s="64" t="s">
        <v>134</v>
      </c>
      <c r="K47" s="79">
        <f>K46/K24*100/K25*100</f>
        <v>662.639114467812</v>
      </c>
      <c r="L47" s="147">
        <f>K47*L40/100</f>
        <v>341.535243581951</v>
      </c>
    </row>
    <row r="48" spans="2:12">
      <c r="B48" s="66" t="s">
        <v>135</v>
      </c>
      <c r="C48" s="64" t="s">
        <v>240</v>
      </c>
      <c r="D48" s="69">
        <v>4714.58333333333</v>
      </c>
      <c r="E48" s="69">
        <v>3619.58333333333</v>
      </c>
      <c r="F48" s="78" t="s">
        <v>117</v>
      </c>
      <c r="G48" s="78" t="s">
        <v>77</v>
      </c>
      <c r="H48" s="102"/>
      <c r="I48" s="148" t="s">
        <v>137</v>
      </c>
      <c r="J48" s="64"/>
      <c r="K48" s="134"/>
      <c r="L48" s="120"/>
    </row>
    <row r="49" spans="2:12">
      <c r="B49" s="57" t="s">
        <v>138</v>
      </c>
      <c r="C49" s="64" t="s">
        <v>240</v>
      </c>
      <c r="D49" s="69">
        <f>365*24*D50/100</f>
        <v>4197.62327272727</v>
      </c>
      <c r="E49" s="69">
        <f>365*24*E50/100</f>
        <v>3444.50636363636</v>
      </c>
      <c r="F49" s="69">
        <f>365*24*F50/100</f>
        <v>2823.66254545455</v>
      </c>
      <c r="G49" s="69"/>
      <c r="H49" s="98"/>
      <c r="I49" s="66"/>
      <c r="J49" s="64" t="s">
        <v>139</v>
      </c>
      <c r="K49" s="150">
        <v>16103.8059</v>
      </c>
      <c r="L49" s="231"/>
    </row>
    <row r="50" spans="2:12">
      <c r="B50" s="57" t="s">
        <v>140</v>
      </c>
      <c r="C50" s="64" t="s">
        <v>59</v>
      </c>
      <c r="D50" s="77">
        <f>2308692.8/365/24/D43*100</f>
        <v>47.9180738895807</v>
      </c>
      <c r="E50" s="77">
        <f>1894478.5/365/24/E43*100</f>
        <v>39.3208488999585</v>
      </c>
      <c r="F50" s="77">
        <f>1553014.4/365/24/F43*100</f>
        <v>32.2335907015359</v>
      </c>
      <c r="G50" s="78"/>
      <c r="H50" s="102"/>
      <c r="I50" s="66"/>
      <c r="J50" s="64" t="s">
        <v>141</v>
      </c>
      <c r="K50" s="150">
        <v>303.934206848138</v>
      </c>
      <c r="L50" s="120"/>
    </row>
    <row r="51" spans="2:12">
      <c r="B51" s="87"/>
      <c r="C51" s="64"/>
      <c r="D51" s="78"/>
      <c r="E51" s="78"/>
      <c r="F51" s="78"/>
      <c r="G51" s="78"/>
      <c r="H51" s="102"/>
      <c r="I51" s="65"/>
      <c r="J51" s="64"/>
      <c r="K51" s="143"/>
      <c r="L51" s="120"/>
    </row>
    <row r="52" spans="2:12"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</row>
    <row r="53" ht="17.6" spans="2:12"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</row>
    <row r="54" spans="2:12"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</row>
    <row r="55" spans="2:12">
      <c r="B55" s="66" t="s">
        <v>146</v>
      </c>
      <c r="C55" s="93">
        <v>555337.767956221</v>
      </c>
      <c r="D55" s="69">
        <f>C55/365/K49*100</f>
        <v>9.44791154534693</v>
      </c>
      <c r="E55" s="111" t="s">
        <v>147</v>
      </c>
      <c r="F55" s="64"/>
      <c r="G55" s="64" t="s">
        <v>148</v>
      </c>
      <c r="H55" s="64"/>
      <c r="I55" s="69">
        <v>1646620.28846154</v>
      </c>
      <c r="J55" s="69">
        <f>I55/5781076.86156*100</f>
        <v>28.4829336798889</v>
      </c>
      <c r="K55" s="111" t="s">
        <v>149</v>
      </c>
      <c r="L55" s="114"/>
    </row>
    <row r="56" spans="2:12">
      <c r="B56" s="66"/>
      <c r="C56" s="69"/>
      <c r="D56" s="69"/>
      <c r="E56" s="111"/>
      <c r="F56" s="64"/>
      <c r="G56" s="64" t="s">
        <v>954</v>
      </c>
      <c r="H56" s="64"/>
      <c r="I56" s="69">
        <v>178339</v>
      </c>
      <c r="J56" s="69">
        <f>I56/I55*J55</f>
        <v>3.08487508937696</v>
      </c>
      <c r="K56" s="111" t="s">
        <v>149</v>
      </c>
      <c r="L56" s="114"/>
    </row>
    <row r="57" spans="2:12"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</sheetData>
  <mergeCells count="1">
    <mergeCell ref="B2:L2"/>
  </mergeCells>
  <pageMargins left="0.7" right="0.7" top="0.787401575" bottom="0.7874015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-0.249977111117893"/>
  </sheetPr>
  <dimension ref="B2:H58"/>
  <sheetViews>
    <sheetView zoomScale="85" zoomScaleNormal="85" workbookViewId="0">
      <selection activeCell="A1" sqref="A1"/>
    </sheetView>
  </sheetViews>
  <sheetFormatPr defaultColWidth="11.5" defaultRowHeight="16.8" outlineLevelCol="7"/>
  <sheetData>
    <row r="2" ht="34" spans="2:6">
      <c r="B2" t="s">
        <v>154</v>
      </c>
      <c r="C2" t="s">
        <v>155</v>
      </c>
      <c r="D2" t="s">
        <v>157</v>
      </c>
      <c r="E2" t="s">
        <v>67</v>
      </c>
      <c r="F2" s="48" t="s">
        <v>661</v>
      </c>
    </row>
    <row r="3" spans="3:6">
      <c r="C3" t="s">
        <v>59</v>
      </c>
      <c r="D3" t="s">
        <v>59</v>
      </c>
      <c r="E3" t="s">
        <v>59</v>
      </c>
      <c r="F3" t="s">
        <v>925</v>
      </c>
    </row>
    <row r="4" spans="2:6">
      <c r="B4" t="s">
        <v>177</v>
      </c>
      <c r="C4">
        <v>41.662521254266</v>
      </c>
      <c r="D4">
        <v>58.337478745734</v>
      </c>
      <c r="E4">
        <v>0</v>
      </c>
      <c r="F4">
        <v>64.1047777777778</v>
      </c>
    </row>
    <row r="5" spans="2:6">
      <c r="B5" t="s">
        <v>166</v>
      </c>
      <c r="C5">
        <v>53.4688474992909</v>
      </c>
      <c r="D5">
        <v>46.5311525007091</v>
      </c>
      <c r="E5">
        <v>0</v>
      </c>
      <c r="F5">
        <v>34.1193548387097</v>
      </c>
    </row>
    <row r="6" spans="2:6">
      <c r="B6" t="s">
        <v>167</v>
      </c>
      <c r="C6">
        <v>28.7484141632965</v>
      </c>
      <c r="D6">
        <v>35.817696334599</v>
      </c>
      <c r="E6">
        <v>35.4338895021045</v>
      </c>
      <c r="F6">
        <v>72.7796666666667</v>
      </c>
    </row>
    <row r="7" spans="2:6">
      <c r="B7" t="s">
        <v>168</v>
      </c>
      <c r="C7">
        <v>0</v>
      </c>
      <c r="D7">
        <v>0</v>
      </c>
      <c r="E7">
        <v>100</v>
      </c>
      <c r="F7">
        <v>46.2687096774194</v>
      </c>
    </row>
    <row r="8" spans="2:6">
      <c r="B8" t="s">
        <v>169</v>
      </c>
      <c r="C8">
        <v>29.5601590787677</v>
      </c>
      <c r="D8">
        <v>0</v>
      </c>
      <c r="E8">
        <v>70.4398409212323</v>
      </c>
      <c r="F8">
        <v>54.3451612903226</v>
      </c>
    </row>
    <row r="9" spans="2:6">
      <c r="B9" t="s">
        <v>170</v>
      </c>
      <c r="C9">
        <v>14.376541071465</v>
      </c>
      <c r="D9">
        <v>56.5861064128951</v>
      </c>
      <c r="E9">
        <v>29.03735251564</v>
      </c>
      <c r="F9">
        <v>35.0521428571429</v>
      </c>
    </row>
    <row r="10" spans="2:6">
      <c r="B10" t="s">
        <v>171</v>
      </c>
      <c r="C10">
        <v>45.6122389437333</v>
      </c>
      <c r="D10">
        <v>50.3562088556227</v>
      </c>
      <c r="E10">
        <v>4.03155220064399</v>
      </c>
      <c r="F10">
        <v>60.8106451612903</v>
      </c>
    </row>
    <row r="11" spans="2:6">
      <c r="B11" t="s">
        <v>172</v>
      </c>
      <c r="C11">
        <v>49.1331477629719</v>
      </c>
      <c r="D11">
        <v>50.8668522370281</v>
      </c>
      <c r="E11">
        <v>0</v>
      </c>
      <c r="F11">
        <v>54.0076666666667</v>
      </c>
    </row>
    <row r="12" spans="2:6">
      <c r="B12" t="s">
        <v>173</v>
      </c>
      <c r="C12">
        <v>48.162455462636</v>
      </c>
      <c r="D12">
        <v>51.837544537364</v>
      </c>
      <c r="E12">
        <v>0</v>
      </c>
      <c r="F12">
        <v>61.2932258064516</v>
      </c>
    </row>
    <row r="13" spans="2:6">
      <c r="B13" t="s">
        <v>174</v>
      </c>
      <c r="C13">
        <v>42.6488200507599</v>
      </c>
      <c r="D13">
        <v>57.3511799492401</v>
      </c>
      <c r="E13">
        <v>0</v>
      </c>
      <c r="F13">
        <v>53.717</v>
      </c>
    </row>
    <row r="14" spans="2:6">
      <c r="B14" t="s">
        <v>175</v>
      </c>
      <c r="C14">
        <v>37.6759647884708</v>
      </c>
      <c r="D14">
        <v>19.6331513328133</v>
      </c>
      <c r="E14">
        <v>42.6908838787158</v>
      </c>
      <c r="F14">
        <v>52.1090322580645</v>
      </c>
    </row>
    <row r="15" spans="2:6">
      <c r="B15" t="s">
        <v>176</v>
      </c>
      <c r="C15">
        <v>36.599881907727</v>
      </c>
      <c r="D15">
        <v>0</v>
      </c>
      <c r="E15">
        <v>63.400118092273</v>
      </c>
      <c r="F15">
        <v>48.0761290322581</v>
      </c>
    </row>
    <row r="25" spans="2:3">
      <c r="B25" t="s">
        <v>104</v>
      </c>
      <c r="C25" t="s">
        <v>22</v>
      </c>
    </row>
    <row r="26" spans="3:3">
      <c r="C26" t="s">
        <v>62</v>
      </c>
    </row>
    <row r="28" spans="2:3">
      <c r="B28" t="s">
        <v>177</v>
      </c>
      <c r="C28">
        <v>0.2455</v>
      </c>
    </row>
    <row r="29" spans="2:3">
      <c r="B29" t="s">
        <v>166</v>
      </c>
      <c r="C29">
        <v>0.2915</v>
      </c>
    </row>
    <row r="30" spans="2:3">
      <c r="B30" t="s">
        <v>167</v>
      </c>
      <c r="C30">
        <v>0.258</v>
      </c>
    </row>
    <row r="31" spans="2:3">
      <c r="B31" t="s">
        <v>168</v>
      </c>
      <c r="C31">
        <v>0.229</v>
      </c>
    </row>
    <row r="32" spans="2:3">
      <c r="B32" t="s">
        <v>169</v>
      </c>
      <c r="C32">
        <v>0.206</v>
      </c>
    </row>
    <row r="33" spans="2:3">
      <c r="B33" t="s">
        <v>170</v>
      </c>
      <c r="C33">
        <v>0.2205</v>
      </c>
    </row>
    <row r="34" spans="2:3">
      <c r="B34" t="s">
        <v>171</v>
      </c>
      <c r="C34">
        <v>0.3395</v>
      </c>
    </row>
    <row r="35" spans="2:3">
      <c r="B35" t="s">
        <v>172</v>
      </c>
      <c r="C35">
        <v>0.3955</v>
      </c>
    </row>
    <row r="36" spans="2:3">
      <c r="B36" t="s">
        <v>173</v>
      </c>
      <c r="C36">
        <v>0.2655</v>
      </c>
    </row>
    <row r="37" spans="2:3">
      <c r="B37" t="s">
        <v>174</v>
      </c>
      <c r="C37">
        <v>0.2625</v>
      </c>
    </row>
    <row r="38" spans="2:3">
      <c r="B38" t="s">
        <v>175</v>
      </c>
      <c r="C38">
        <v>0.211</v>
      </c>
    </row>
    <row r="39" spans="2:3">
      <c r="B39" t="s">
        <v>176</v>
      </c>
      <c r="C39">
        <v>0.21</v>
      </c>
    </row>
    <row r="45" spans="3:8"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184</v>
      </c>
    </row>
    <row r="46" spans="2:6">
      <c r="B46" t="s">
        <v>154</v>
      </c>
      <c r="C46" t="s">
        <v>185</v>
      </c>
      <c r="D46" t="s">
        <v>185</v>
      </c>
      <c r="E46" t="s">
        <v>122</v>
      </c>
      <c r="F46" t="s">
        <v>122</v>
      </c>
    </row>
    <row r="47" spans="2:8">
      <c r="B47" t="s">
        <v>177</v>
      </c>
      <c r="C47">
        <v>0</v>
      </c>
      <c r="D47">
        <v>652.070133333333</v>
      </c>
      <c r="E47" t="s">
        <v>955</v>
      </c>
      <c r="F47">
        <v>1629</v>
      </c>
      <c r="G47">
        <v>106.02766395664</v>
      </c>
      <c r="H47">
        <v>0</v>
      </c>
    </row>
    <row r="48" spans="2:8">
      <c r="B48" t="s">
        <v>166</v>
      </c>
      <c r="C48">
        <v>0</v>
      </c>
      <c r="D48">
        <v>523.532283333333</v>
      </c>
      <c r="E48" t="s">
        <v>955</v>
      </c>
      <c r="F48">
        <v>1629</v>
      </c>
      <c r="G48">
        <v>85.1272005420054</v>
      </c>
      <c r="H48">
        <v>0</v>
      </c>
    </row>
    <row r="49" spans="2:8">
      <c r="B49" t="s">
        <v>167</v>
      </c>
      <c r="C49">
        <v>0</v>
      </c>
      <c r="D49">
        <v>793.26505</v>
      </c>
      <c r="E49" t="s">
        <v>955</v>
      </c>
      <c r="F49">
        <v>1629</v>
      </c>
      <c r="G49">
        <v>128.98618699187</v>
      </c>
      <c r="H49">
        <v>0</v>
      </c>
    </row>
    <row r="50" spans="2:8">
      <c r="B50" t="s">
        <v>168</v>
      </c>
      <c r="C50">
        <v>0</v>
      </c>
      <c r="D50">
        <v>826.266583333333</v>
      </c>
      <c r="E50" t="s">
        <v>955</v>
      </c>
      <c r="F50">
        <v>1629</v>
      </c>
      <c r="G50">
        <v>134.3522899729</v>
      </c>
      <c r="H50">
        <v>0</v>
      </c>
    </row>
    <row r="51" spans="2:8">
      <c r="B51" t="s">
        <v>169</v>
      </c>
      <c r="C51">
        <v>0</v>
      </c>
      <c r="D51">
        <v>704.424466666667</v>
      </c>
      <c r="E51" t="s">
        <v>955</v>
      </c>
      <c r="F51">
        <v>1629</v>
      </c>
      <c r="G51">
        <v>114.540563685637</v>
      </c>
      <c r="H51">
        <v>0</v>
      </c>
    </row>
    <row r="52" spans="2:8">
      <c r="B52" t="s">
        <v>170</v>
      </c>
      <c r="C52">
        <v>0</v>
      </c>
      <c r="D52">
        <v>719.912316666667</v>
      </c>
      <c r="E52" t="s">
        <v>955</v>
      </c>
      <c r="F52">
        <v>1629</v>
      </c>
      <c r="G52">
        <v>117.058913279133</v>
      </c>
      <c r="H52">
        <v>0</v>
      </c>
    </row>
    <row r="53" spans="2:8">
      <c r="B53" t="s">
        <v>171</v>
      </c>
      <c r="C53">
        <v>0</v>
      </c>
      <c r="D53">
        <v>576.997991666667</v>
      </c>
      <c r="E53" t="s">
        <v>955</v>
      </c>
      <c r="F53">
        <v>1629</v>
      </c>
      <c r="G53">
        <v>93.8208116531165</v>
      </c>
      <c r="H53">
        <v>0</v>
      </c>
    </row>
    <row r="54" spans="2:8">
      <c r="B54" t="s">
        <v>172</v>
      </c>
      <c r="C54">
        <v>0</v>
      </c>
      <c r="D54">
        <v>602.27345</v>
      </c>
      <c r="E54" t="s">
        <v>955</v>
      </c>
      <c r="F54">
        <v>1629</v>
      </c>
      <c r="G54">
        <v>97.9306422764228</v>
      </c>
      <c r="H54">
        <v>0</v>
      </c>
    </row>
    <row r="55" spans="2:8">
      <c r="B55" t="s">
        <v>173</v>
      </c>
      <c r="C55">
        <v>0</v>
      </c>
      <c r="D55">
        <v>708.989958333333</v>
      </c>
      <c r="E55" t="s">
        <v>955</v>
      </c>
      <c r="F55">
        <v>1629</v>
      </c>
      <c r="G55">
        <v>115.282920054201</v>
      </c>
      <c r="H55">
        <v>0</v>
      </c>
    </row>
    <row r="56" spans="2:8">
      <c r="B56" t="s">
        <v>174</v>
      </c>
      <c r="C56">
        <v>0</v>
      </c>
      <c r="D56">
        <v>678.9868</v>
      </c>
      <c r="E56" t="s">
        <v>955</v>
      </c>
      <c r="F56">
        <v>1629</v>
      </c>
      <c r="G56">
        <v>110.404357723577</v>
      </c>
      <c r="H56">
        <v>0</v>
      </c>
    </row>
    <row r="57" spans="2:8">
      <c r="B57" t="s">
        <v>175</v>
      </c>
      <c r="C57">
        <v>0</v>
      </c>
      <c r="D57">
        <v>632.175316666667</v>
      </c>
      <c r="E57" t="s">
        <v>955</v>
      </c>
      <c r="F57">
        <v>1629</v>
      </c>
      <c r="G57">
        <v>102.792734417344</v>
      </c>
      <c r="H57">
        <v>0</v>
      </c>
    </row>
    <row r="58" spans="2:8">
      <c r="B58" t="s">
        <v>176</v>
      </c>
      <c r="C58">
        <v>0</v>
      </c>
      <c r="D58">
        <v>633.0086</v>
      </c>
      <c r="E58" t="s">
        <v>955</v>
      </c>
      <c r="F58">
        <v>1629</v>
      </c>
      <c r="G58">
        <v>102.928227642276</v>
      </c>
      <c r="H58">
        <v>0</v>
      </c>
    </row>
  </sheetData>
  <pageMargins left="0.7" right="0.7" top="0.787401575" bottom="0.787401575" header="0.3" footer="0.3"/>
  <headerFooter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-0.249977111117893"/>
  </sheetPr>
  <dimension ref="A1:M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949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1650</v>
      </c>
      <c r="G3" s="22"/>
      <c r="H3" s="23" t="s">
        <v>187</v>
      </c>
      <c r="I3" s="5" t="s">
        <v>188</v>
      </c>
      <c r="J3" s="35">
        <v>5385966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v>615</v>
      </c>
      <c r="G4" s="216"/>
      <c r="H4" s="25" t="s">
        <v>187</v>
      </c>
      <c r="I4" s="7" t="s">
        <v>191</v>
      </c>
      <c r="J4" s="37">
        <v>2530000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97.2951051568432</v>
      </c>
      <c r="H6" s="27" t="s">
        <v>195</v>
      </c>
      <c r="I6" s="1"/>
      <c r="J6" s="40">
        <v>1185678.13</v>
      </c>
      <c r="K6" s="41" t="s">
        <v>196</v>
      </c>
      <c r="L6" s="1"/>
    </row>
    <row r="7" ht="21.75" customHeight="1" spans="1:13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  <c r="M7" t="s">
        <v>77</v>
      </c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2.70489484315682</v>
      </c>
      <c r="H8" s="27" t="s">
        <v>195</v>
      </c>
      <c r="I8" s="1"/>
      <c r="J8" s="40">
        <v>32962.96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1218641.09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24.7420848158383</v>
      </c>
      <c r="H11" s="27" t="s">
        <v>195</v>
      </c>
      <c r="I11" s="1"/>
      <c r="J11" s="40">
        <v>251084.04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32">
        <v>19.7942507145774</v>
      </c>
      <c r="F14" s="15" t="s">
        <v>204</v>
      </c>
      <c r="G14" s="31"/>
      <c r="H14" s="15"/>
      <c r="I14" s="15"/>
      <c r="J14" s="45">
        <v>242380.6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2.88199065848588</v>
      </c>
      <c r="H16" s="27" t="s">
        <v>195</v>
      </c>
      <c r="I16" s="1"/>
      <c r="J16" s="40">
        <v>29246.6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8.40043330076125</v>
      </c>
      <c r="H17" s="27" t="s">
        <v>195</v>
      </c>
      <c r="I17" s="1"/>
      <c r="J17" s="40">
        <v>85248.06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28.9217980300481</v>
      </c>
      <c r="H18" s="27" t="s">
        <v>195</v>
      </c>
      <c r="I18" s="1"/>
      <c r="J18" s="40">
        <v>293500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35.0536931948665</v>
      </c>
      <c r="H19" s="27" t="s">
        <v>195</v>
      </c>
      <c r="I19" s="1"/>
      <c r="J19" s="40">
        <v>355726.81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3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  <c r="M21" t="s">
        <v>77</v>
      </c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78600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62247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1550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28268.14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1193.6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61183.75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6121.25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116563.07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1014805.51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22.6262306520316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18.8416620156904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3.78456863634118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203835.58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B2:L57"/>
  <sheetViews>
    <sheetView zoomScale="115" zoomScaleNormal="115" workbookViewId="0">
      <selection activeCell="A1" sqref="A1"/>
    </sheetView>
  </sheetViews>
  <sheetFormatPr defaultColWidth="11.5" defaultRowHeight="16.8"/>
  <cols>
    <col min="2" max="2" width="27.3365384615385" customWidth="1"/>
    <col min="8" max="8" width="14.8365384615385" customWidth="1"/>
    <col min="10" max="10" width="21.3365384615385" customWidth="1"/>
  </cols>
  <sheetData>
    <row r="2" ht="27.75" customHeight="1" spans="2:12">
      <c r="B2" s="49" t="s">
        <v>956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55" t="s">
        <v>755</v>
      </c>
      <c r="D4" s="95"/>
      <c r="E4" s="95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55">
        <v>2011</v>
      </c>
      <c r="D5" s="95"/>
      <c r="E5" s="95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5" t="s">
        <v>957</v>
      </c>
      <c r="D6" s="95"/>
      <c r="E6" s="5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55" t="s">
        <v>9</v>
      </c>
      <c r="D7" s="95"/>
      <c r="E7" s="5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59" t="s">
        <v>757</v>
      </c>
      <c r="D8" s="95"/>
      <c r="E8" s="5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5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spans="2:12">
      <c r="B10" s="60" t="s">
        <v>232</v>
      </c>
      <c r="C10" s="55" t="s">
        <v>603</v>
      </c>
      <c r="D10" s="95"/>
      <c r="E10" s="5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spans="2:12">
      <c r="B13" s="66" t="s">
        <v>233</v>
      </c>
      <c r="C13" s="64"/>
      <c r="D13" s="229" t="s">
        <v>259</v>
      </c>
      <c r="E13" s="67" t="s">
        <v>178</v>
      </c>
      <c r="F13" s="67" t="s">
        <v>23</v>
      </c>
      <c r="G13" s="67"/>
      <c r="H13" s="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70">
        <v>1</v>
      </c>
      <c r="E14" s="68">
        <v>1</v>
      </c>
      <c r="F14" s="68">
        <v>1</v>
      </c>
      <c r="G14" s="68"/>
      <c r="H14" s="64"/>
      <c r="I14" s="57" t="s">
        <v>248</v>
      </c>
      <c r="J14" s="64"/>
      <c r="K14" s="119">
        <v>44764.7052688172</v>
      </c>
      <c r="L14" s="120" t="s">
        <v>28</v>
      </c>
    </row>
    <row r="15" spans="2:12">
      <c r="B15" s="66" t="s">
        <v>54</v>
      </c>
      <c r="C15" s="64" t="s">
        <v>55</v>
      </c>
      <c r="D15" s="71">
        <v>4300</v>
      </c>
      <c r="E15" s="69">
        <v>4300</v>
      </c>
      <c r="F15" s="69">
        <v>3186</v>
      </c>
      <c r="G15" s="69"/>
      <c r="H15" s="98">
        <v>11786</v>
      </c>
      <c r="I15" s="57" t="s">
        <v>249</v>
      </c>
      <c r="J15" s="64"/>
      <c r="K15" s="121">
        <v>122.643028133746</v>
      </c>
      <c r="L15" s="120" t="s">
        <v>56</v>
      </c>
    </row>
    <row r="16" spans="2:12">
      <c r="B16" s="66" t="s">
        <v>234</v>
      </c>
      <c r="C16" s="64" t="s">
        <v>55</v>
      </c>
      <c r="D16" s="71">
        <v>3717</v>
      </c>
      <c r="E16" s="69">
        <v>3717</v>
      </c>
      <c r="F16" s="69">
        <v>2920</v>
      </c>
      <c r="G16" s="69"/>
      <c r="H16" s="98">
        <v>10354</v>
      </c>
      <c r="I16" s="56" t="s">
        <v>574</v>
      </c>
      <c r="J16" s="56"/>
      <c r="K16" s="122">
        <v>5.7277937710138</v>
      </c>
      <c r="L16" s="123" t="s">
        <v>59</v>
      </c>
    </row>
    <row r="17" spans="2:12">
      <c r="B17" s="57" t="s">
        <v>61</v>
      </c>
      <c r="C17" s="56" t="s">
        <v>62</v>
      </c>
      <c r="D17" s="70" t="s">
        <v>63</v>
      </c>
      <c r="E17" s="70" t="s">
        <v>63</v>
      </c>
      <c r="F17" s="70" t="s">
        <v>63</v>
      </c>
      <c r="G17" s="70"/>
      <c r="H17" s="98"/>
      <c r="I17" s="56" t="s">
        <v>157</v>
      </c>
      <c r="J17" s="56"/>
      <c r="K17" s="124">
        <v>25.6326941752323</v>
      </c>
      <c r="L17" s="123" t="s">
        <v>59</v>
      </c>
    </row>
    <row r="18" spans="2:12">
      <c r="B18" s="57" t="s">
        <v>66</v>
      </c>
      <c r="C18" s="56" t="s">
        <v>55</v>
      </c>
      <c r="D18" s="71">
        <v>4601</v>
      </c>
      <c r="E18" s="71">
        <v>4601</v>
      </c>
      <c r="F18" s="71">
        <v>4601</v>
      </c>
      <c r="G18" s="71"/>
      <c r="H18" s="98">
        <v>13803</v>
      </c>
      <c r="I18" s="56" t="s">
        <v>58</v>
      </c>
      <c r="J18" s="56"/>
      <c r="K18" s="124">
        <v>46.0713409730999</v>
      </c>
      <c r="L18" s="123" t="s">
        <v>59</v>
      </c>
    </row>
    <row r="19" spans="2:12">
      <c r="B19" s="57"/>
      <c r="C19" s="56"/>
      <c r="D19" s="70"/>
      <c r="E19" s="70"/>
      <c r="F19" s="70"/>
      <c r="G19" s="70"/>
      <c r="H19" s="100"/>
      <c r="I19" s="56" t="s">
        <v>67</v>
      </c>
      <c r="J19" s="56"/>
      <c r="K19" s="124">
        <v>19.9130094713467</v>
      </c>
      <c r="L19" s="123" t="s">
        <v>59</v>
      </c>
    </row>
    <row r="20" ht="17.6" spans="2:12">
      <c r="B20" s="72" t="s">
        <v>69</v>
      </c>
      <c r="C20" s="73"/>
      <c r="D20" s="74"/>
      <c r="E20" s="74"/>
      <c r="F20" s="74"/>
      <c r="G20" s="74"/>
      <c r="H20" s="101"/>
      <c r="I20" s="56" t="s">
        <v>575</v>
      </c>
      <c r="J20" s="56"/>
      <c r="K20" s="124">
        <v>2.88530884375044</v>
      </c>
      <c r="L20" s="123" t="s">
        <v>59</v>
      </c>
    </row>
    <row r="21" spans="2:12">
      <c r="B21" s="66" t="s">
        <v>71</v>
      </c>
      <c r="C21" s="64" t="s">
        <v>59</v>
      </c>
      <c r="D21" s="75">
        <v>12.3398887610858</v>
      </c>
      <c r="E21" s="75">
        <v>12.7154002843949</v>
      </c>
      <c r="F21" s="75">
        <v>11.0474874012073</v>
      </c>
      <c r="G21" s="77"/>
      <c r="H21" s="102"/>
      <c r="I21" s="56"/>
      <c r="J21" s="56"/>
      <c r="K21" s="124"/>
      <c r="L21" s="123" t="s">
        <v>59</v>
      </c>
    </row>
    <row r="22" spans="2:12">
      <c r="B22" s="66" t="s">
        <v>73</v>
      </c>
      <c r="C22" s="64" t="s">
        <v>59</v>
      </c>
      <c r="D22" s="75">
        <v>76.114687119994</v>
      </c>
      <c r="E22" s="75">
        <v>75.5547879863983</v>
      </c>
      <c r="F22" s="75">
        <v>74.12361708898</v>
      </c>
      <c r="G22" s="77"/>
      <c r="H22" s="78"/>
      <c r="I22" s="57"/>
      <c r="J22" s="56"/>
      <c r="K22" s="124"/>
      <c r="L22" s="123" t="s">
        <v>59</v>
      </c>
    </row>
    <row r="23" ht="18" spans="2:12">
      <c r="B23" s="66" t="s">
        <v>74</v>
      </c>
      <c r="C23" s="76" t="s">
        <v>75</v>
      </c>
      <c r="D23" s="78"/>
      <c r="E23" s="77"/>
      <c r="F23" s="77"/>
      <c r="G23" s="78"/>
      <c r="H23" s="103" t="s">
        <v>958</v>
      </c>
      <c r="I23" s="125" t="s">
        <v>76</v>
      </c>
      <c r="J23" s="56"/>
      <c r="K23" s="126"/>
      <c r="L23" s="123"/>
    </row>
    <row r="24" ht="18" spans="2:12">
      <c r="B24" s="66" t="s">
        <v>78</v>
      </c>
      <c r="C24" s="56" t="s">
        <v>79</v>
      </c>
      <c r="D24" s="78"/>
      <c r="E24" s="77"/>
      <c r="F24" s="77"/>
      <c r="G24" s="78"/>
      <c r="H24" s="104" t="s">
        <v>959</v>
      </c>
      <c r="I24" s="127" t="s">
        <v>80</v>
      </c>
      <c r="J24" s="56"/>
      <c r="K24" s="122">
        <v>35.4710535725211</v>
      </c>
      <c r="L24" s="123" t="s">
        <v>59</v>
      </c>
    </row>
    <row r="25" ht="18" spans="2:12">
      <c r="B25" s="57" t="s">
        <v>81</v>
      </c>
      <c r="C25" s="56" t="s">
        <v>59</v>
      </c>
      <c r="D25" s="77"/>
      <c r="E25" s="77"/>
      <c r="F25" s="77"/>
      <c r="G25" s="77"/>
      <c r="H25" s="104" t="s">
        <v>359</v>
      </c>
      <c r="I25" s="128" t="s">
        <v>83</v>
      </c>
      <c r="J25" s="56"/>
      <c r="K25" s="122">
        <v>93.1311426815492</v>
      </c>
      <c r="L25" s="123" t="s">
        <v>59</v>
      </c>
    </row>
    <row r="26" ht="18" spans="2:12">
      <c r="B26" s="57" t="s">
        <v>84</v>
      </c>
      <c r="C26" s="56" t="s">
        <v>59</v>
      </c>
      <c r="D26" s="78"/>
      <c r="E26" s="78"/>
      <c r="F26" s="78"/>
      <c r="G26" s="78"/>
      <c r="H26" s="105" t="s">
        <v>682</v>
      </c>
      <c r="I26" s="57" t="s">
        <v>86</v>
      </c>
      <c r="J26" s="56"/>
      <c r="K26" s="122">
        <v>64.1637735323235</v>
      </c>
      <c r="L26" s="123" t="s">
        <v>59</v>
      </c>
    </row>
    <row r="27" ht="18" spans="2:12">
      <c r="B27" s="57" t="s">
        <v>87</v>
      </c>
      <c r="C27" s="56" t="s">
        <v>88</v>
      </c>
      <c r="D27" s="78"/>
      <c r="E27" s="78"/>
      <c r="F27" s="78"/>
      <c r="G27" s="78"/>
      <c r="H27" s="103" t="s">
        <v>255</v>
      </c>
      <c r="I27" s="129"/>
      <c r="J27" s="130"/>
      <c r="K27" s="131"/>
      <c r="L27" s="132"/>
    </row>
    <row r="28" ht="18" spans="2:12">
      <c r="B28" s="57" t="s">
        <v>90</v>
      </c>
      <c r="C28" s="56" t="s">
        <v>91</v>
      </c>
      <c r="D28" s="78"/>
      <c r="E28" s="78"/>
      <c r="F28" s="78"/>
      <c r="G28" s="78"/>
      <c r="H28" s="103" t="s">
        <v>535</v>
      </c>
      <c r="I28" s="63" t="s">
        <v>93</v>
      </c>
      <c r="J28" s="133"/>
      <c r="K28" s="134"/>
      <c r="L28" s="120"/>
    </row>
    <row r="29" spans="2:12">
      <c r="B29" s="66" t="s">
        <v>32</v>
      </c>
      <c r="C29" s="56" t="s">
        <v>62</v>
      </c>
      <c r="D29" s="75">
        <v>7.88166666666667</v>
      </c>
      <c r="E29" s="75">
        <v>7.90916666666667</v>
      </c>
      <c r="F29" s="75">
        <v>8.05</v>
      </c>
      <c r="G29" s="80"/>
      <c r="H29" s="78"/>
      <c r="I29" s="66" t="s">
        <v>26</v>
      </c>
      <c r="J29" s="64"/>
      <c r="K29" s="134"/>
      <c r="L29" s="120"/>
    </row>
    <row r="30" spans="2:12">
      <c r="B30" s="66" t="s">
        <v>94</v>
      </c>
      <c r="C30" s="56" t="s">
        <v>95</v>
      </c>
      <c r="D30" s="77">
        <v>50.2710270911884</v>
      </c>
      <c r="E30" s="77">
        <v>50.1168855606759</v>
      </c>
      <c r="F30" s="77">
        <v>47.5495890410958</v>
      </c>
      <c r="G30" s="77"/>
      <c r="H30" s="78"/>
      <c r="I30" s="66" t="s">
        <v>96</v>
      </c>
      <c r="J30" s="92"/>
      <c r="K30" s="135">
        <f>6355+2*5807</f>
        <v>17969</v>
      </c>
      <c r="L30" s="120" t="s">
        <v>55</v>
      </c>
    </row>
    <row r="31" ht="18" spans="2:12">
      <c r="B31" s="66" t="s">
        <v>97</v>
      </c>
      <c r="C31" s="64" t="s">
        <v>98</v>
      </c>
      <c r="D31" s="75">
        <v>4.16183045833333</v>
      </c>
      <c r="E31" s="75">
        <v>4.11217675</v>
      </c>
      <c r="F31" s="75">
        <v>4.59944941666667</v>
      </c>
      <c r="G31" s="80"/>
      <c r="H31" s="78"/>
      <c r="I31" s="66" t="s">
        <v>99</v>
      </c>
      <c r="J31" s="92"/>
      <c r="K31" s="135"/>
      <c r="L31" s="120" t="s">
        <v>55</v>
      </c>
    </row>
    <row r="32" ht="18" spans="2:12">
      <c r="B32" s="66" t="s">
        <v>100</v>
      </c>
      <c r="C32" s="64" t="s">
        <v>98</v>
      </c>
      <c r="D32" s="75">
        <v>7.03416666666667</v>
      </c>
      <c r="E32" s="75">
        <v>7.125</v>
      </c>
      <c r="F32" s="75">
        <v>6.99625</v>
      </c>
      <c r="G32" s="80"/>
      <c r="H32" s="78"/>
      <c r="I32" s="66" t="s">
        <v>66</v>
      </c>
      <c r="J32" s="92"/>
      <c r="K32" s="135">
        <v>30000</v>
      </c>
      <c r="L32" s="120" t="s">
        <v>55</v>
      </c>
    </row>
    <row r="33" spans="2:12">
      <c r="B33" s="66" t="s">
        <v>101</v>
      </c>
      <c r="C33" s="64" t="s">
        <v>102</v>
      </c>
      <c r="D33" s="77">
        <v>377.8225</v>
      </c>
      <c r="E33" s="77">
        <v>378.47875</v>
      </c>
      <c r="F33" s="77">
        <v>166.133333333333</v>
      </c>
      <c r="G33" s="80"/>
      <c r="H33" s="78"/>
      <c r="I33" s="57" t="s">
        <v>103</v>
      </c>
      <c r="J33" s="64"/>
      <c r="K33" s="136">
        <v>1</v>
      </c>
      <c r="L33" s="120" t="s">
        <v>59</v>
      </c>
    </row>
    <row r="34" spans="2:12">
      <c r="B34" s="66" t="s">
        <v>104</v>
      </c>
      <c r="C34" s="64" t="s">
        <v>62</v>
      </c>
      <c r="D34" s="80">
        <v>0.276</v>
      </c>
      <c r="E34" s="80">
        <v>0.241791666666667</v>
      </c>
      <c r="F34" s="80">
        <v>0.213083333333333</v>
      </c>
      <c r="G34" s="80"/>
      <c r="H34" s="78"/>
      <c r="I34" s="66" t="s">
        <v>105</v>
      </c>
      <c r="J34" s="64"/>
      <c r="K34" s="137">
        <v>9.59657916793111</v>
      </c>
      <c r="L34" s="120" t="s">
        <v>59</v>
      </c>
    </row>
    <row r="35" spans="2:12"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73.2609206315213</v>
      </c>
      <c r="L35" s="120" t="s">
        <v>59</v>
      </c>
    </row>
    <row r="36" spans="2:12"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7.6" spans="2:12">
      <c r="B37" s="230" t="s">
        <v>107</v>
      </c>
      <c r="C37" s="82" t="s">
        <v>761</v>
      </c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spans="2:12">
      <c r="B39" s="85"/>
      <c r="C39" s="64"/>
      <c r="D39" s="78"/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8" spans="2:12"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52.7915068493151</v>
      </c>
    </row>
    <row r="41" ht="18" spans="2:12">
      <c r="B41" s="86"/>
      <c r="C41" s="77"/>
      <c r="D41" s="67"/>
      <c r="E41" s="67"/>
      <c r="F41" s="67"/>
      <c r="G41" s="67"/>
      <c r="H41" s="67"/>
      <c r="I41" s="66"/>
      <c r="J41" s="64" t="s">
        <v>113</v>
      </c>
      <c r="K41" s="143" t="s">
        <v>116</v>
      </c>
      <c r="L41" s="145">
        <v>46.5748767123288</v>
      </c>
    </row>
    <row r="42" ht="18" spans="2:12">
      <c r="B42" s="66"/>
      <c r="C42" s="64"/>
      <c r="D42" s="78"/>
      <c r="E42" s="78"/>
      <c r="F42" s="78"/>
      <c r="G42" s="78"/>
      <c r="H42" s="102"/>
      <c r="I42" s="66"/>
      <c r="J42" s="64" t="s">
        <v>113</v>
      </c>
      <c r="K42" s="143" t="s">
        <v>120</v>
      </c>
      <c r="L42" s="146">
        <v>0.821095890410958</v>
      </c>
    </row>
    <row r="43" ht="18" spans="2:12">
      <c r="B43" s="66"/>
      <c r="C43" s="64"/>
      <c r="D43" s="77"/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23.0723287671233</v>
      </c>
    </row>
    <row r="44" spans="2:12">
      <c r="B44" s="66"/>
      <c r="C44" s="64"/>
      <c r="D44" s="77"/>
      <c r="E44" s="77"/>
      <c r="F44" s="77"/>
      <c r="G44" s="78"/>
      <c r="H44" s="102"/>
      <c r="I44" s="148" t="s">
        <v>126</v>
      </c>
      <c r="J44" s="64"/>
      <c r="K44" s="134"/>
      <c r="L44" s="120"/>
    </row>
    <row r="45" spans="2:12">
      <c r="B45" s="66"/>
      <c r="C45" s="64"/>
      <c r="D45" s="78"/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</row>
    <row r="46" spans="2:12">
      <c r="B46" s="66"/>
      <c r="C46" s="64"/>
      <c r="D46" s="78"/>
      <c r="E46" s="78"/>
      <c r="F46" s="78"/>
      <c r="G46" s="78"/>
      <c r="H46" s="102"/>
      <c r="I46" s="66"/>
      <c r="J46" s="64" t="s">
        <v>131</v>
      </c>
      <c r="K46" s="150">
        <f>K50*24/K15</f>
        <v>242.62209595966</v>
      </c>
      <c r="L46" s="231">
        <f>L40/100*K46</f>
        <v>128.083860406495</v>
      </c>
    </row>
    <row r="47" spans="2:12">
      <c r="B47" s="57"/>
      <c r="C47" s="56"/>
      <c r="D47" s="70"/>
      <c r="E47" s="70"/>
      <c r="F47" s="78"/>
      <c r="G47" s="78"/>
      <c r="H47" s="102"/>
      <c r="I47" s="66"/>
      <c r="J47" s="64" t="s">
        <v>134</v>
      </c>
      <c r="K47" s="150">
        <f>K46/K24*100/K25*100</f>
        <v>734.448469857015</v>
      </c>
      <c r="L47" s="147">
        <f>L40/100*K47</f>
        <v>387.726414269256</v>
      </c>
    </row>
    <row r="48" spans="2:12">
      <c r="B48" s="87"/>
      <c r="C48" s="64"/>
      <c r="D48" s="78"/>
      <c r="E48" s="78"/>
      <c r="F48" s="78"/>
      <c r="G48" s="78"/>
      <c r="H48" s="102"/>
      <c r="I48" s="65" t="s">
        <v>565</v>
      </c>
      <c r="J48" s="64"/>
      <c r="K48" s="143"/>
      <c r="L48" s="120"/>
    </row>
    <row r="49" spans="2:12">
      <c r="B49" s="87"/>
      <c r="C49" s="64"/>
      <c r="D49" s="78"/>
      <c r="E49" s="78"/>
      <c r="F49" s="78"/>
      <c r="G49" s="78"/>
      <c r="H49" s="102"/>
      <c r="I49" s="66"/>
      <c r="J49" s="64" t="s">
        <v>139</v>
      </c>
      <c r="K49" s="150">
        <f>K50*0.528*9.971*24*0.4</f>
        <v>62662.2298492207</v>
      </c>
      <c r="L49" s="120"/>
    </row>
    <row r="50" spans="2:12">
      <c r="B50" s="84"/>
      <c r="C50" s="56"/>
      <c r="D50" s="78"/>
      <c r="E50" s="107"/>
      <c r="F50" s="78"/>
      <c r="G50" s="78"/>
      <c r="H50" s="102"/>
      <c r="I50" s="64"/>
      <c r="J50" s="64" t="s">
        <v>341</v>
      </c>
      <c r="K50" s="150">
        <f>29755.9085406489/24</f>
        <v>1239.82952252704</v>
      </c>
      <c r="L50" s="120"/>
    </row>
    <row r="51" spans="2:12">
      <c r="B51" s="88" t="s">
        <v>142</v>
      </c>
      <c r="C51" s="89"/>
      <c r="D51" s="89"/>
      <c r="E51" s="108"/>
      <c r="F51" s="99"/>
      <c r="G51" s="99"/>
      <c r="H51" s="109"/>
      <c r="I51" s="78"/>
      <c r="J51" s="78"/>
      <c r="K51" s="78"/>
      <c r="L51" s="114"/>
    </row>
    <row r="52" ht="17.6" spans="2:12">
      <c r="B52" s="90" t="s">
        <v>143</v>
      </c>
      <c r="C52" s="78"/>
      <c r="D52" s="64"/>
      <c r="E52" s="64"/>
      <c r="F52" s="64"/>
      <c r="G52" s="110"/>
      <c r="H52" s="64"/>
      <c r="I52" s="83"/>
      <c r="J52" s="140"/>
      <c r="K52" s="140"/>
      <c r="L52" s="152"/>
    </row>
    <row r="53" spans="2:12">
      <c r="B53" s="66"/>
      <c r="C53" s="78" t="s">
        <v>145</v>
      </c>
      <c r="D53" s="92"/>
      <c r="E53" s="92"/>
      <c r="F53" s="64"/>
      <c r="G53" s="64"/>
      <c r="H53" s="150" t="s">
        <v>77</v>
      </c>
      <c r="I53" s="78"/>
      <c r="J53" s="64"/>
      <c r="K53" s="64"/>
      <c r="L53" s="114"/>
    </row>
    <row r="54" spans="2:12">
      <c r="B54" s="66" t="s">
        <v>146</v>
      </c>
      <c r="C54" s="69">
        <f>C55+C56</f>
        <v>4704851.88850486</v>
      </c>
      <c r="D54" s="69"/>
      <c r="E54" s="111"/>
      <c r="F54" s="64"/>
      <c r="G54" s="64"/>
      <c r="H54" s="64"/>
      <c r="I54" s="69"/>
      <c r="J54" s="69"/>
      <c r="K54" s="111"/>
      <c r="L54" s="114"/>
    </row>
    <row r="55" spans="2:12">
      <c r="B55" s="66" t="s">
        <v>960</v>
      </c>
      <c r="C55" s="69">
        <v>3718760.88850486</v>
      </c>
      <c r="D55" s="69"/>
      <c r="E55" s="111"/>
      <c r="F55" s="64"/>
      <c r="G55" s="64"/>
      <c r="H55" s="64"/>
      <c r="I55" s="69"/>
      <c r="J55" s="69"/>
      <c r="K55" s="111"/>
      <c r="L55" s="114"/>
    </row>
    <row r="56" spans="2:12">
      <c r="B56" s="66" t="s">
        <v>431</v>
      </c>
      <c r="C56" s="69">
        <v>986091</v>
      </c>
      <c r="D56" s="69"/>
      <c r="E56" s="111"/>
      <c r="F56" s="64"/>
      <c r="G56" s="64"/>
      <c r="H56" s="64"/>
      <c r="I56" s="69"/>
      <c r="J56" s="69"/>
      <c r="K56" s="111"/>
      <c r="L56" s="114"/>
    </row>
    <row r="57" spans="2:12"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</sheetData>
  <mergeCells count="1">
    <mergeCell ref="B2:L2"/>
  </mergeCells>
  <pageMargins left="0.7" right="0.7" top="0.787401575" bottom="0.7874015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B3:H64"/>
  <sheetViews>
    <sheetView zoomScale="85" zoomScaleNormal="85" workbookViewId="0">
      <selection activeCell="A1" sqref="A1"/>
    </sheetView>
  </sheetViews>
  <sheetFormatPr defaultColWidth="11.5" defaultRowHeight="16.8" outlineLevelCol="7"/>
  <sheetData>
    <row r="3" ht="34" spans="2:8">
      <c r="B3" t="s">
        <v>154</v>
      </c>
      <c r="C3" t="s">
        <v>58</v>
      </c>
      <c r="D3" t="s">
        <v>574</v>
      </c>
      <c r="E3" t="s">
        <v>575</v>
      </c>
      <c r="F3" t="s">
        <v>157</v>
      </c>
      <c r="G3" t="s">
        <v>67</v>
      </c>
      <c r="H3" s="48" t="s">
        <v>661</v>
      </c>
    </row>
    <row r="4" spans="3:8">
      <c r="C4" t="s">
        <v>59</v>
      </c>
      <c r="D4" t="s">
        <v>59</v>
      </c>
      <c r="E4" t="s">
        <v>59</v>
      </c>
      <c r="F4" t="s">
        <v>59</v>
      </c>
      <c r="G4" t="s">
        <v>59</v>
      </c>
      <c r="H4" t="s">
        <v>925</v>
      </c>
    </row>
    <row r="5" spans="2:8">
      <c r="B5" t="s">
        <v>177</v>
      </c>
      <c r="C5">
        <v>45.5703163841494</v>
      </c>
      <c r="D5">
        <v>4.71257120795918</v>
      </c>
      <c r="E5">
        <v>0</v>
      </c>
      <c r="F5">
        <v>8.05472770854107</v>
      </c>
      <c r="G5">
        <v>41.6623846993503</v>
      </c>
      <c r="H5">
        <v>120.012333333333</v>
      </c>
    </row>
    <row r="6" spans="2:8">
      <c r="B6" t="s">
        <v>166</v>
      </c>
      <c r="C6">
        <v>52.9846221683294</v>
      </c>
      <c r="D6">
        <v>3.99603152731081</v>
      </c>
      <c r="E6">
        <v>0</v>
      </c>
      <c r="F6">
        <v>11.7676238769773</v>
      </c>
      <c r="G6">
        <v>31.2517224273825</v>
      </c>
      <c r="H6">
        <v>117.051612903226</v>
      </c>
    </row>
    <row r="7" spans="2:8">
      <c r="B7" t="s">
        <v>167</v>
      </c>
      <c r="C7">
        <v>37.1354213407521</v>
      </c>
      <c r="D7">
        <v>8.19572825989411</v>
      </c>
      <c r="E7">
        <v>4.25603517903617</v>
      </c>
      <c r="F7">
        <v>43.749439109755</v>
      </c>
      <c r="G7">
        <v>6.66337611056269</v>
      </c>
      <c r="H7">
        <v>148.573333333333</v>
      </c>
    </row>
    <row r="8" spans="2:8">
      <c r="B8" t="s">
        <v>168</v>
      </c>
      <c r="C8">
        <v>54.3376705640159</v>
      </c>
      <c r="D8">
        <v>7.23428963551427</v>
      </c>
      <c r="E8">
        <v>9.44865264324738</v>
      </c>
      <c r="F8">
        <v>28.9793871572224</v>
      </c>
      <c r="G8">
        <v>0</v>
      </c>
      <c r="H8">
        <v>122.222580645161</v>
      </c>
    </row>
    <row r="9" spans="2:8">
      <c r="B9" t="s">
        <v>169</v>
      </c>
      <c r="C9">
        <v>56.3188128291048</v>
      </c>
      <c r="D9">
        <v>8.30540928674007</v>
      </c>
      <c r="E9">
        <v>10.6430509015478</v>
      </c>
      <c r="F9">
        <v>24.7327269826073</v>
      </c>
      <c r="G9">
        <v>0</v>
      </c>
      <c r="H9">
        <v>121.296774193548</v>
      </c>
    </row>
    <row r="10" spans="2:8">
      <c r="B10" t="s">
        <v>170</v>
      </c>
      <c r="C10">
        <v>49.6921025425887</v>
      </c>
      <c r="D10">
        <v>7.28615734983444</v>
      </c>
      <c r="E10">
        <v>10.2992074075184</v>
      </c>
      <c r="F10">
        <v>30.0256206643393</v>
      </c>
      <c r="G10">
        <v>2.6969120357191</v>
      </c>
      <c r="H10">
        <v>119.183928571429</v>
      </c>
    </row>
    <row r="11" spans="2:8">
      <c r="B11" t="s">
        <v>171</v>
      </c>
      <c r="C11">
        <v>54.0245365722262</v>
      </c>
      <c r="D11">
        <v>1.897788769988</v>
      </c>
      <c r="E11">
        <v>0</v>
      </c>
      <c r="F11">
        <v>24.3406714499106</v>
      </c>
      <c r="G11">
        <v>19.7370032078752</v>
      </c>
      <c r="H11">
        <v>131.732258064516</v>
      </c>
    </row>
    <row r="12" spans="2:8">
      <c r="B12" t="s">
        <v>172</v>
      </c>
      <c r="C12">
        <v>47.2498906758661</v>
      </c>
      <c r="D12">
        <v>0.590350323113551</v>
      </c>
      <c r="E12">
        <v>0</v>
      </c>
      <c r="F12">
        <v>26.35926339828</v>
      </c>
      <c r="G12">
        <v>25.8004956027404</v>
      </c>
      <c r="H12">
        <v>137.206666666667</v>
      </c>
    </row>
    <row r="13" spans="2:8">
      <c r="B13" t="s">
        <v>173</v>
      </c>
      <c r="C13">
        <v>24.3481442528486</v>
      </c>
      <c r="D13">
        <v>2.65828672874777</v>
      </c>
      <c r="E13">
        <v>0</v>
      </c>
      <c r="F13">
        <v>66.9678565773789</v>
      </c>
      <c r="G13">
        <v>6.02981435555231</v>
      </c>
      <c r="H13">
        <v>131.069139784946</v>
      </c>
    </row>
    <row r="14" spans="2:8">
      <c r="B14" t="s">
        <v>174</v>
      </c>
      <c r="C14">
        <v>49.8745080143745</v>
      </c>
      <c r="D14">
        <v>5.67280816838743</v>
      </c>
      <c r="E14">
        <v>0</v>
      </c>
      <c r="F14">
        <v>9.08676059551652</v>
      </c>
      <c r="G14">
        <v>35.3659232217215</v>
      </c>
      <c r="H14">
        <v>116.873333333333</v>
      </c>
    </row>
    <row r="15" spans="2:8">
      <c r="B15" t="s">
        <v>175</v>
      </c>
      <c r="C15">
        <v>44.2603302070536</v>
      </c>
      <c r="D15">
        <v>9.72043268510472</v>
      </c>
      <c r="E15">
        <v>0</v>
      </c>
      <c r="F15">
        <v>13.5378899110059</v>
      </c>
      <c r="G15">
        <v>32.4813471968358</v>
      </c>
      <c r="H15">
        <v>107.654838709677</v>
      </c>
    </row>
    <row r="16" spans="2:8">
      <c r="B16" t="s">
        <v>176</v>
      </c>
      <c r="C16">
        <v>37.7657906291162</v>
      </c>
      <c r="D16">
        <v>10.0796587844195</v>
      </c>
      <c r="E16">
        <v>0</v>
      </c>
      <c r="F16">
        <v>6.49187731292731</v>
      </c>
      <c r="G16">
        <v>45.662673273537</v>
      </c>
      <c r="H16">
        <v>102.858064516129</v>
      </c>
    </row>
    <row r="28" spans="2:4">
      <c r="B28" t="s">
        <v>104</v>
      </c>
      <c r="C28" t="s">
        <v>259</v>
      </c>
      <c r="D28" t="s">
        <v>178</v>
      </c>
    </row>
    <row r="29" spans="3:4">
      <c r="C29" t="s">
        <v>62</v>
      </c>
      <c r="D29" t="s">
        <v>62</v>
      </c>
    </row>
    <row r="31" spans="2:4">
      <c r="B31" t="s">
        <v>177</v>
      </c>
      <c r="C31">
        <v>0.26</v>
      </c>
      <c r="D31">
        <v>0.2415</v>
      </c>
    </row>
    <row r="32" spans="2:4">
      <c r="B32" t="s">
        <v>166</v>
      </c>
      <c r="C32">
        <v>0.2935</v>
      </c>
      <c r="D32">
        <v>0.251</v>
      </c>
    </row>
    <row r="33" spans="2:4">
      <c r="B33" t="s">
        <v>167</v>
      </c>
      <c r="C33">
        <v>0.2675</v>
      </c>
      <c r="D33">
        <v>0.237</v>
      </c>
    </row>
    <row r="34" spans="2:4">
      <c r="B34" t="s">
        <v>168</v>
      </c>
      <c r="C34">
        <v>0.261</v>
      </c>
      <c r="D34">
        <v>0.2145</v>
      </c>
    </row>
    <row r="35" spans="2:4">
      <c r="B35" t="s">
        <v>169</v>
      </c>
      <c r="C35">
        <v>0.28</v>
      </c>
      <c r="D35">
        <v>0.242</v>
      </c>
    </row>
    <row r="36" spans="2:4">
      <c r="B36" t="s">
        <v>170</v>
      </c>
      <c r="C36">
        <v>0.311</v>
      </c>
      <c r="D36">
        <v>0.256</v>
      </c>
    </row>
    <row r="37" spans="2:4">
      <c r="B37" t="s">
        <v>171</v>
      </c>
      <c r="C37">
        <v>0.2845</v>
      </c>
      <c r="D37">
        <v>0.2165</v>
      </c>
    </row>
    <row r="38" spans="2:4">
      <c r="B38" t="s">
        <v>172</v>
      </c>
      <c r="C38">
        <v>0.289</v>
      </c>
      <c r="D38">
        <v>0.2245</v>
      </c>
    </row>
    <row r="39" spans="2:4">
      <c r="B39" t="s">
        <v>173</v>
      </c>
      <c r="C39">
        <v>0.238</v>
      </c>
      <c r="D39">
        <v>0.2405</v>
      </c>
    </row>
    <row r="40" spans="2:4">
      <c r="B40" t="s">
        <v>174</v>
      </c>
      <c r="C40">
        <v>0.2605</v>
      </c>
      <c r="D40">
        <v>0.275</v>
      </c>
    </row>
    <row r="41" spans="2:4">
      <c r="B41" t="s">
        <v>175</v>
      </c>
      <c r="C41">
        <v>0.291</v>
      </c>
      <c r="D41">
        <v>0.272</v>
      </c>
    </row>
    <row r="42" spans="2:4">
      <c r="B42" t="s">
        <v>176</v>
      </c>
      <c r="C42">
        <v>0.302</v>
      </c>
      <c r="D42">
        <v>0.231</v>
      </c>
    </row>
    <row r="51" spans="2:8">
      <c r="B51" s="48"/>
      <c r="C51" s="48"/>
      <c r="D51" s="48"/>
      <c r="E51" s="48"/>
      <c r="F51" s="48"/>
      <c r="G51" s="48"/>
      <c r="H51" s="48"/>
    </row>
    <row r="52" spans="2:8">
      <c r="B52" s="48"/>
      <c r="C52" s="48"/>
      <c r="D52" s="48"/>
      <c r="E52" s="48"/>
      <c r="F52" s="48"/>
      <c r="G52" s="48"/>
      <c r="H52" s="48"/>
    </row>
    <row r="53" spans="2:8">
      <c r="B53" s="222"/>
      <c r="C53" s="223"/>
      <c r="D53" s="223"/>
      <c r="E53" s="225"/>
      <c r="F53" s="225"/>
      <c r="G53" s="225"/>
      <c r="H53" s="226"/>
    </row>
    <row r="54" spans="2:6">
      <c r="B54" s="219"/>
      <c r="C54" s="223"/>
      <c r="D54" s="223"/>
      <c r="E54" s="199"/>
      <c r="F54" s="199"/>
    </row>
    <row r="55" spans="2:6">
      <c r="B55" s="219"/>
      <c r="C55" s="223"/>
      <c r="D55" s="223"/>
      <c r="E55" s="199"/>
      <c r="F55" s="199"/>
    </row>
    <row r="56" spans="2:6">
      <c r="B56" s="219"/>
      <c r="C56" s="223"/>
      <c r="D56" s="223"/>
      <c r="E56" s="199"/>
      <c r="F56" s="199"/>
    </row>
    <row r="57" spans="2:6">
      <c r="B57" s="219"/>
      <c r="C57" s="223"/>
      <c r="D57" s="223"/>
      <c r="E57" s="199"/>
      <c r="F57" s="199"/>
    </row>
    <row r="58" spans="2:6">
      <c r="B58" s="219"/>
      <c r="C58" s="223"/>
      <c r="D58" s="223"/>
      <c r="E58" s="199"/>
      <c r="F58" s="199"/>
    </row>
    <row r="59" spans="2:6">
      <c r="B59" s="219"/>
      <c r="C59" s="223"/>
      <c r="D59" s="223"/>
      <c r="E59" s="199"/>
      <c r="F59" s="199"/>
    </row>
    <row r="60" spans="2:6">
      <c r="B60" s="219"/>
      <c r="C60" s="223"/>
      <c r="D60" s="223"/>
      <c r="E60" s="199"/>
      <c r="F60" s="199"/>
    </row>
    <row r="61" spans="2:6">
      <c r="B61" s="219"/>
      <c r="C61" s="223"/>
      <c r="D61" s="223"/>
      <c r="E61" s="199"/>
      <c r="F61" s="199"/>
    </row>
    <row r="62" spans="2:6">
      <c r="B62" s="219"/>
      <c r="C62" s="223"/>
      <c r="D62" s="223"/>
      <c r="E62" s="199"/>
      <c r="F62" s="199"/>
    </row>
    <row r="63" spans="2:6">
      <c r="B63" s="219"/>
      <c r="C63" s="223"/>
      <c r="D63" s="223"/>
      <c r="E63" s="199"/>
      <c r="F63" s="199"/>
    </row>
    <row r="64" spans="2:8">
      <c r="B64" s="224"/>
      <c r="C64" s="223"/>
      <c r="D64" s="223"/>
      <c r="E64" s="227"/>
      <c r="F64" s="227"/>
      <c r="G64" s="228"/>
      <c r="H64" s="228"/>
    </row>
  </sheetData>
  <pageMargins left="0.7" right="0.7" top="0.787401575" bottom="0.787401575" header="0.3" footer="0.3"/>
  <headerFooter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A1:O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32.163461538461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956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0</v>
      </c>
      <c r="G3" s="22"/>
      <c r="H3" s="23" t="s">
        <v>187</v>
      </c>
      <c r="I3" s="5" t="s">
        <v>961</v>
      </c>
      <c r="J3" s="35">
        <v>22451314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20">
        <v>0</v>
      </c>
      <c r="G4" s="220"/>
      <c r="H4" s="25" t="s">
        <v>187</v>
      </c>
      <c r="I4" s="7" t="s">
        <v>191</v>
      </c>
      <c r="J4" s="37">
        <v>6373000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221"/>
      <c r="G5" s="221"/>
      <c r="H5" s="10"/>
      <c r="I5" s="10"/>
      <c r="J5" s="10"/>
      <c r="K5" s="39"/>
      <c r="L5" s="8"/>
    </row>
    <row r="6" ht="21.75" customHeight="1" spans="1:14">
      <c r="A6" s="1"/>
      <c r="B6" s="11"/>
      <c r="C6" s="1" t="s">
        <v>194</v>
      </c>
      <c r="D6" s="1"/>
      <c r="E6" s="1"/>
      <c r="F6" s="1"/>
      <c r="G6" s="26">
        <v>0</v>
      </c>
      <c r="H6" s="27" t="s">
        <v>195</v>
      </c>
      <c r="I6" s="1"/>
      <c r="J6" s="40">
        <v>0</v>
      </c>
      <c r="K6" s="41" t="s">
        <v>196</v>
      </c>
      <c r="L6" s="1"/>
      <c r="N6" t="s">
        <v>77</v>
      </c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</row>
    <row r="8" ht="21.75" customHeight="1" spans="1:12">
      <c r="A8" s="1"/>
      <c r="B8" s="11"/>
      <c r="C8" s="1" t="s">
        <v>962</v>
      </c>
      <c r="D8" s="1"/>
      <c r="E8" s="1"/>
      <c r="F8" s="1"/>
      <c r="G8" s="26">
        <v>100</v>
      </c>
      <c r="H8" s="27" t="s">
        <v>195</v>
      </c>
      <c r="I8" s="1"/>
      <c r="J8" s="40">
        <v>3576616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3576616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963</v>
      </c>
      <c r="D11" s="1"/>
      <c r="E11" s="1"/>
      <c r="F11" s="1"/>
      <c r="G11" s="26">
        <v>61.6420225311568</v>
      </c>
      <c r="H11" s="27" t="s">
        <v>195</v>
      </c>
      <c r="I11" s="1"/>
      <c r="J11" s="40">
        <v>1995800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5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  <c r="O13" t="s">
        <v>77</v>
      </c>
    </row>
    <row r="14" ht="21.75" customHeight="1" spans="1:15">
      <c r="A14" s="15"/>
      <c r="B14" s="16"/>
      <c r="C14" s="15"/>
      <c r="D14" s="15" t="s">
        <v>205</v>
      </c>
      <c r="E14" s="196">
        <v>0</v>
      </c>
      <c r="F14" s="15" t="s">
        <v>204</v>
      </c>
      <c r="G14" s="31"/>
      <c r="H14" s="15"/>
      <c r="I14" s="15"/>
      <c r="J14" s="45">
        <v>0</v>
      </c>
      <c r="K14" s="44" t="s">
        <v>196</v>
      </c>
      <c r="L14" s="15"/>
      <c r="O14" t="s">
        <v>77</v>
      </c>
    </row>
    <row r="15" ht="21.75" customHeight="1" spans="1:12">
      <c r="A15" s="15"/>
      <c r="B15" s="16"/>
      <c r="C15" s="15"/>
      <c r="D15" s="15" t="s">
        <v>242</v>
      </c>
      <c r="E15" s="185">
        <v>0</v>
      </c>
      <c r="F15" s="15" t="s">
        <v>204</v>
      </c>
      <c r="G15" s="31"/>
      <c r="H15" s="15"/>
      <c r="I15" s="15"/>
      <c r="J15" s="45">
        <v>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4.78422151020954</v>
      </c>
      <c r="H16" s="27" t="s">
        <v>195</v>
      </c>
      <c r="I16" s="1"/>
      <c r="J16" s="40">
        <v>154900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4.47227420709065</v>
      </c>
      <c r="H17" s="27" t="s">
        <v>195</v>
      </c>
      <c r="I17" s="1"/>
      <c r="J17" s="40">
        <v>144800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12.0928484647656</v>
      </c>
      <c r="H18" s="27" t="s">
        <v>195</v>
      </c>
      <c r="I18" s="1"/>
      <c r="J18" s="40">
        <v>391533.34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17.0086332867774</v>
      </c>
      <c r="H19" s="27" t="s">
        <v>195</v>
      </c>
      <c r="I19" s="1"/>
      <c r="J19" s="40">
        <v>550693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3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  <c r="M21" t="s">
        <v>77</v>
      </c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199100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31000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58400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36000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2000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347</v>
      </c>
      <c r="E29" s="15"/>
      <c r="F29" s="15"/>
      <c r="G29" s="31"/>
      <c r="H29" s="15"/>
      <c r="I29" s="15"/>
      <c r="J29" s="45">
        <v>168393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55800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3237726.34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15.9305419718418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14.4210995400982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1.50944243174364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338889.66</v>
      </c>
      <c r="K37" s="43" t="s">
        <v>196</v>
      </c>
      <c r="L37" s="12"/>
    </row>
    <row r="38" ht="21.75" customHeight="1" spans="1:12">
      <c r="A38" s="1"/>
      <c r="B38" s="19" t="s">
        <v>964</v>
      </c>
      <c r="C38" s="19"/>
      <c r="D38" s="19"/>
      <c r="E38" s="19"/>
      <c r="F38" s="19"/>
      <c r="G38" s="19"/>
      <c r="H38" s="19"/>
      <c r="I38" s="19"/>
      <c r="J38" s="19"/>
      <c r="K38" s="19"/>
      <c r="L38" s="1"/>
    </row>
    <row r="39" ht="21.75" customHeight="1" spans="1:12">
      <c r="A39" s="19"/>
      <c r="B39" s="20" t="s">
        <v>965</v>
      </c>
      <c r="C39" s="1"/>
      <c r="D39" s="1"/>
      <c r="E39" s="1"/>
      <c r="F39" s="1"/>
      <c r="G39" s="1"/>
      <c r="H39" s="1"/>
      <c r="I39" s="1"/>
      <c r="J39" s="1"/>
      <c r="K39" s="1"/>
      <c r="L39" s="19"/>
    </row>
    <row r="40" ht="21.75" customHeight="1" spans="1:12">
      <c r="A40" s="19"/>
      <c r="B40" s="19" t="s">
        <v>966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 spans="1:12">
      <c r="A41" s="19"/>
      <c r="B41" s="19" t="s">
        <v>351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</row>
    <row r="42" ht="21.75" customHeight="1" spans="1:1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</row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A1:T63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4" width="13.3365384615385" style="156" customWidth="1"/>
    <col min="5" max="5" width="13.6634615384615" style="156" customWidth="1"/>
    <col min="6" max="6" width="9.33653846153846" style="156" customWidth="1"/>
    <col min="7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8.5" customHeight="1" spans="1:13">
      <c r="A2" s="157"/>
      <c r="B2" s="49" t="s">
        <v>967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478</v>
      </c>
      <c r="D4" s="56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2006</v>
      </c>
      <c r="D5" s="5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741</v>
      </c>
      <c r="D6" s="5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369</v>
      </c>
      <c r="D7" s="5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8" t="s">
        <v>11</v>
      </c>
      <c r="D8" s="58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5" t="s">
        <v>13</v>
      </c>
      <c r="D9" s="5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5" t="s">
        <v>968</v>
      </c>
      <c r="D10" s="5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4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  <c r="N12" s="179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78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78"/>
      <c r="G14" s="68"/>
      <c r="H14" s="64"/>
      <c r="I14" s="57" t="s">
        <v>248</v>
      </c>
      <c r="J14" s="64"/>
      <c r="K14" s="161">
        <v>15213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600</v>
      </c>
      <c r="E15" s="69">
        <v>2281</v>
      </c>
      <c r="F15" s="78"/>
      <c r="G15" s="69"/>
      <c r="H15" s="98">
        <f>SUM(D15:E15)</f>
        <v>2881</v>
      </c>
      <c r="I15" s="57" t="s">
        <v>249</v>
      </c>
      <c r="J15" s="64"/>
      <c r="K15" s="162">
        <f>K14/365</f>
        <v>41.6794520547945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600</v>
      </c>
      <c r="E16" s="69">
        <v>2200</v>
      </c>
      <c r="F16" s="78"/>
      <c r="G16" s="69"/>
      <c r="H16" s="98">
        <f>SUM(D16:E16)</f>
        <v>2800</v>
      </c>
      <c r="I16" s="56" t="s">
        <v>157</v>
      </c>
      <c r="J16" s="56"/>
      <c r="K16" s="163">
        <v>11.2859219231881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969</v>
      </c>
      <c r="E17" s="70" t="s">
        <v>63</v>
      </c>
      <c r="F17" s="78"/>
      <c r="G17" s="70"/>
      <c r="H17" s="98"/>
      <c r="I17" s="56" t="s">
        <v>58</v>
      </c>
      <c r="J17" s="56"/>
      <c r="K17" s="164">
        <v>21.285668660819</v>
      </c>
      <c r="L17" s="118" t="s">
        <v>59</v>
      </c>
      <c r="M17" s="178"/>
    </row>
    <row r="18" ht="15" customHeight="1" spans="1:15">
      <c r="A18" s="157"/>
      <c r="B18" s="57" t="s">
        <v>66</v>
      </c>
      <c r="C18" s="56" t="s">
        <v>55</v>
      </c>
      <c r="D18" s="71">
        <v>0</v>
      </c>
      <c r="E18" s="71">
        <v>950</v>
      </c>
      <c r="F18" s="78"/>
      <c r="G18" s="71"/>
      <c r="H18" s="98">
        <f>SUM(D18:E18)</f>
        <v>950</v>
      </c>
      <c r="I18" s="56" t="s">
        <v>155</v>
      </c>
      <c r="J18" s="56"/>
      <c r="K18" s="164">
        <v>37.9395641135601</v>
      </c>
      <c r="L18" s="118" t="s">
        <v>59</v>
      </c>
      <c r="M18" s="178"/>
      <c r="O18" s="206"/>
    </row>
    <row r="19" ht="15" customHeight="1" spans="1:13">
      <c r="A19" s="157"/>
      <c r="B19" s="57"/>
      <c r="C19" s="56"/>
      <c r="D19" s="70"/>
      <c r="E19" s="70"/>
      <c r="F19" s="99"/>
      <c r="G19" s="70"/>
      <c r="H19" s="100"/>
      <c r="I19" s="56" t="s">
        <v>155</v>
      </c>
      <c r="J19" s="56"/>
      <c r="K19" s="164">
        <v>1.35506212466373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8"/>
      <c r="G20" s="74"/>
      <c r="H20" s="101"/>
      <c r="I20" s="56" t="s">
        <v>67</v>
      </c>
      <c r="J20" s="56"/>
      <c r="K20" s="164">
        <v>21.1130228296994</v>
      </c>
      <c r="L20" s="118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11.2</v>
      </c>
      <c r="E21" s="75">
        <v>9.0458768068069</v>
      </c>
      <c r="F21" s="78"/>
      <c r="G21" s="77"/>
      <c r="H21" s="102"/>
      <c r="I21" s="56" t="s">
        <v>68</v>
      </c>
      <c r="J21" s="56"/>
      <c r="K21" s="164">
        <v>7.09515696642377</v>
      </c>
      <c r="L21" s="118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79.7238785515192</v>
      </c>
      <c r="E22" s="75">
        <v>75.9446769613144</v>
      </c>
      <c r="F22" s="78"/>
      <c r="G22" s="77"/>
      <c r="H22" s="78"/>
      <c r="I22" s="57" t="s">
        <v>372</v>
      </c>
      <c r="J22" s="56"/>
      <c r="K22" s="164">
        <v>0.2</v>
      </c>
      <c r="L22" s="118" t="s">
        <v>59</v>
      </c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78"/>
      <c r="G23" s="78"/>
      <c r="H23" s="103" t="s">
        <v>413</v>
      </c>
      <c r="I23" s="125" t="s">
        <v>76</v>
      </c>
      <c r="J23" s="56"/>
      <c r="K23" s="165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78"/>
      <c r="G24" s="78"/>
      <c r="H24" s="104" t="s">
        <v>970</v>
      </c>
      <c r="I24" s="127" t="s">
        <v>80</v>
      </c>
      <c r="J24" s="56"/>
      <c r="K24" s="163">
        <v>25.1094095720142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8"/>
      <c r="G25" s="77"/>
      <c r="H25" s="104" t="s">
        <v>746</v>
      </c>
      <c r="I25" s="128" t="s">
        <v>83</v>
      </c>
      <c r="J25" s="56"/>
      <c r="K25" s="163">
        <v>93.2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105" t="s">
        <v>971</v>
      </c>
      <c r="I26" s="57" t="s">
        <v>86</v>
      </c>
      <c r="J26" s="56"/>
      <c r="K26" s="163">
        <v>75.6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103" t="s">
        <v>338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103" t="s">
        <v>357</v>
      </c>
      <c r="I28" s="63" t="s">
        <v>93</v>
      </c>
      <c r="J28" s="133"/>
      <c r="K28" s="6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7.83845833333333</v>
      </c>
      <c r="E29" s="75">
        <v>7.6465</v>
      </c>
      <c r="F29" s="78"/>
      <c r="G29" s="80"/>
      <c r="H29" s="78"/>
      <c r="I29" s="66" t="s">
        <v>26</v>
      </c>
      <c r="J29" s="64"/>
      <c r="K29" s="64">
        <v>2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42.5646575342465</v>
      </c>
      <c r="E30" s="77">
        <v>41</v>
      </c>
      <c r="F30" s="78"/>
      <c r="G30" s="77"/>
      <c r="H30" s="78"/>
      <c r="I30" s="66" t="s">
        <v>96</v>
      </c>
      <c r="J30" s="92"/>
      <c r="K30" s="92">
        <v>2200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</v>
      </c>
      <c r="E31" s="75"/>
      <c r="F31" s="78"/>
      <c r="G31" s="80"/>
      <c r="H31" s="78"/>
      <c r="I31" s="66" t="s">
        <v>99</v>
      </c>
      <c r="J31" s="92"/>
      <c r="K31" s="92">
        <v>2200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5.1</v>
      </c>
      <c r="E32" s="75"/>
      <c r="F32" s="78"/>
      <c r="G32" s="80"/>
      <c r="H32" s="78"/>
      <c r="I32" s="66" t="s">
        <v>66</v>
      </c>
      <c r="J32" s="92"/>
      <c r="K32" s="92">
        <v>950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319</v>
      </c>
      <c r="E33" s="69">
        <v>1666</v>
      </c>
      <c r="F33" s="78"/>
      <c r="G33" s="80"/>
      <c r="H33" s="78"/>
      <c r="I33" s="57" t="s">
        <v>103</v>
      </c>
      <c r="J33" s="64"/>
      <c r="K33" s="205" t="s">
        <v>972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0.261610977111818</v>
      </c>
      <c r="E34" s="80">
        <v>0.385814211150661</v>
      </c>
      <c r="F34" s="78"/>
      <c r="G34" s="80"/>
      <c r="H34" s="78"/>
      <c r="I34" s="66" t="s">
        <v>105</v>
      </c>
      <c r="J34" s="64"/>
      <c r="K34" s="168">
        <v>8.21304636828569</v>
      </c>
      <c r="L34" s="120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68">
        <v>72.7813622643424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20"/>
    </row>
    <row r="39" ht="15" customHeight="1" spans="1:12">
      <c r="A39" s="157"/>
      <c r="B39" s="85" t="s">
        <v>111</v>
      </c>
      <c r="C39" s="64" t="s">
        <v>59</v>
      </c>
      <c r="D39" s="78">
        <v>74</v>
      </c>
      <c r="E39" s="78"/>
      <c r="F39" s="78"/>
      <c r="G39" s="78"/>
      <c r="H39" s="102"/>
      <c r="I39" s="125" t="s">
        <v>112</v>
      </c>
      <c r="J39" s="64"/>
      <c r="K39" s="134"/>
      <c r="L39" s="120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51.6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78" t="s">
        <v>116</v>
      </c>
      <c r="L41" s="879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78" t="s">
        <v>120</v>
      </c>
      <c r="L42" s="173">
        <v>0.46593509984639</v>
      </c>
    </row>
    <row r="43" ht="15" customHeight="1" spans="1:12">
      <c r="A43" s="157"/>
      <c r="B43" s="66" t="s">
        <v>121</v>
      </c>
      <c r="C43" s="64" t="s">
        <v>122</v>
      </c>
      <c r="D43" s="77">
        <v>549</v>
      </c>
      <c r="E43" s="77"/>
      <c r="F43" s="77"/>
      <c r="G43" s="77"/>
      <c r="H43" s="77"/>
      <c r="I43" s="66"/>
      <c r="J43" s="64" t="s">
        <v>123</v>
      </c>
      <c r="K43" s="172" t="s">
        <v>124</v>
      </c>
      <c r="L43" s="174">
        <v>41</v>
      </c>
    </row>
    <row r="44" ht="15" customHeight="1" spans="1:17">
      <c r="A44" s="157"/>
      <c r="B44" s="66" t="s">
        <v>125</v>
      </c>
      <c r="C44" s="64" t="s">
        <v>122</v>
      </c>
      <c r="D44" s="77">
        <v>580</v>
      </c>
      <c r="E44" s="77"/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40.4</v>
      </c>
      <c r="E45" s="78"/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8">
        <v>42.9</v>
      </c>
      <c r="E46" s="78"/>
      <c r="F46" s="78"/>
      <c r="G46" s="78"/>
      <c r="H46" s="78"/>
      <c r="I46" s="66"/>
      <c r="J46" s="64" t="s">
        <v>131</v>
      </c>
      <c r="K46" s="77">
        <v>157.054675284935</v>
      </c>
      <c r="L46" s="174">
        <f>K46*L40/100</f>
        <v>81.0402124470265</v>
      </c>
      <c r="M46" s="180"/>
    </row>
    <row r="47" ht="15" customHeight="1" spans="1:12">
      <c r="A47" s="157"/>
      <c r="B47" s="57" t="s">
        <v>132</v>
      </c>
      <c r="C47" s="56" t="s">
        <v>62</v>
      </c>
      <c r="D47" s="78" t="s">
        <v>133</v>
      </c>
      <c r="E47" s="78"/>
      <c r="F47" s="78"/>
      <c r="G47" s="78"/>
      <c r="H47" s="102"/>
      <c r="I47" s="66"/>
      <c r="J47" s="64" t="s">
        <v>134</v>
      </c>
      <c r="K47" s="77">
        <f>K46/K24*100/K25*100</f>
        <v>671.117333953362</v>
      </c>
      <c r="L47" s="174">
        <f>K47*L40/100</f>
        <v>346.296544319935</v>
      </c>
    </row>
    <row r="48" ht="15" customHeight="1" spans="1:13">
      <c r="A48" s="157"/>
      <c r="B48" s="66" t="s">
        <v>135</v>
      </c>
      <c r="C48" s="64" t="s">
        <v>240</v>
      </c>
      <c r="D48" s="69">
        <v>8616</v>
      </c>
      <c r="E48" s="77"/>
      <c r="F48" s="77"/>
      <c r="G48" s="77" t="s">
        <v>77</v>
      </c>
      <c r="H48" s="77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8156</v>
      </c>
      <c r="E49" s="77"/>
      <c r="F49" s="77"/>
      <c r="G49" s="78"/>
      <c r="H49" s="102"/>
      <c r="I49" s="66"/>
      <c r="J49" s="64" t="s">
        <v>139</v>
      </c>
      <c r="K49" s="69">
        <v>12268.1950844854</v>
      </c>
      <c r="L49" s="98"/>
    </row>
    <row r="50" ht="15" customHeight="1" spans="1:20">
      <c r="A50" s="157"/>
      <c r="B50" s="57" t="s">
        <v>140</v>
      </c>
      <c r="C50" s="64" t="s">
        <v>59</v>
      </c>
      <c r="D50" s="77">
        <v>93.1061872561985</v>
      </c>
      <c r="E50" s="78"/>
      <c r="F50" s="78"/>
      <c r="G50" s="78"/>
      <c r="H50" s="102"/>
      <c r="I50" s="66"/>
      <c r="J50" s="64" t="s">
        <v>141</v>
      </c>
      <c r="K50" s="69">
        <f>K49/K15</f>
        <v>294.346362048062</v>
      </c>
      <c r="L50" s="114"/>
      <c r="N50" s="179"/>
      <c r="R50" s="182"/>
      <c r="S50" s="182"/>
      <c r="T50" s="182"/>
    </row>
    <row r="51" ht="15" customHeight="1" spans="1:14">
      <c r="A51" s="157"/>
      <c r="B51" s="84"/>
      <c r="C51" s="56"/>
      <c r="D51" s="78"/>
      <c r="E51" s="107"/>
      <c r="F51" s="78"/>
      <c r="G51" s="78"/>
      <c r="H51" s="102"/>
      <c r="I51" s="64"/>
      <c r="J51" s="64"/>
      <c r="K51" s="143"/>
      <c r="L51" s="120"/>
      <c r="N51" s="179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307130</v>
      </c>
      <c r="D55" s="189">
        <v>6.85879541749481</v>
      </c>
      <c r="E55" s="111" t="s">
        <v>147</v>
      </c>
      <c r="F55" s="64"/>
      <c r="G55" s="64" t="s">
        <v>148</v>
      </c>
      <c r="H55" s="64"/>
      <c r="I55" s="69">
        <v>175780.571428571</v>
      </c>
      <c r="J55" s="69">
        <f>I55/365/K49*D46/D45*100</f>
        <v>4.16843718296363</v>
      </c>
      <c r="K55" s="111" t="s">
        <v>149</v>
      </c>
      <c r="L55" s="114"/>
    </row>
    <row r="56" ht="15" customHeight="1" spans="1:12">
      <c r="A56" s="157"/>
      <c r="B56" s="66" t="s">
        <v>430</v>
      </c>
      <c r="C56" s="69"/>
      <c r="D56" s="69"/>
      <c r="E56" s="111"/>
      <c r="F56" s="64"/>
      <c r="G56" s="64" t="s">
        <v>643</v>
      </c>
      <c r="H56" s="64"/>
      <c r="I56" s="69">
        <f>SUM(I57:I59)</f>
        <v>4006160</v>
      </c>
      <c r="J56" s="69">
        <f>SUM(J57:J59)</f>
        <v>86</v>
      </c>
      <c r="K56" s="111" t="s">
        <v>149</v>
      </c>
      <c r="L56" s="114"/>
    </row>
    <row r="57" ht="15" customHeight="1" spans="1:12">
      <c r="A57" s="157"/>
      <c r="B57" s="66" t="s">
        <v>431</v>
      </c>
      <c r="C57" s="69"/>
      <c r="D57" s="69"/>
      <c r="E57" s="111"/>
      <c r="F57" s="64"/>
      <c r="G57" s="64" t="s">
        <v>973</v>
      </c>
      <c r="H57" s="64"/>
      <c r="I57" s="69">
        <v>2478614</v>
      </c>
      <c r="J57" s="69">
        <v>53</v>
      </c>
      <c r="K57" s="111" t="s">
        <v>149</v>
      </c>
      <c r="L57" s="114"/>
    </row>
    <row r="58" ht="15" customHeight="1" spans="1:12">
      <c r="A58" s="157"/>
      <c r="B58" s="66"/>
      <c r="C58" s="92"/>
      <c r="D58" s="69"/>
      <c r="E58" s="64"/>
      <c r="F58" s="64"/>
      <c r="G58" s="64" t="s">
        <v>257</v>
      </c>
      <c r="H58" s="64"/>
      <c r="I58" s="69">
        <v>1362292</v>
      </c>
      <c r="J58" s="69">
        <v>29</v>
      </c>
      <c r="K58" s="111" t="s">
        <v>149</v>
      </c>
      <c r="L58" s="114"/>
    </row>
    <row r="59" ht="15" customHeight="1" spans="1:12">
      <c r="A59" s="157"/>
      <c r="B59" s="66"/>
      <c r="C59" s="64"/>
      <c r="D59" s="69"/>
      <c r="E59" s="64"/>
      <c r="F59" s="64"/>
      <c r="G59" s="64" t="s">
        <v>974</v>
      </c>
      <c r="H59" s="64"/>
      <c r="I59" s="69">
        <v>165254</v>
      </c>
      <c r="J59" s="69">
        <v>4</v>
      </c>
      <c r="K59" s="111" t="s">
        <v>149</v>
      </c>
      <c r="L59" s="114"/>
    </row>
    <row r="60" spans="1:12">
      <c r="A60" s="157"/>
      <c r="B60" s="81"/>
      <c r="C60" s="94"/>
      <c r="D60" s="94"/>
      <c r="E60" s="94"/>
      <c r="F60" s="94"/>
      <c r="G60" s="94"/>
      <c r="H60" s="94"/>
      <c r="I60" s="94"/>
      <c r="J60" s="94"/>
      <c r="K60" s="94"/>
      <c r="L60" s="115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ht="16.8" spans="1:8">
      <c r="A62" s="157"/>
      <c r="G62"/>
      <c r="H62"/>
    </row>
    <row r="63" ht="16.8" spans="7:8">
      <c r="G63"/>
      <c r="H63"/>
    </row>
  </sheetData>
  <mergeCells count="2">
    <mergeCell ref="B2:L2"/>
    <mergeCell ref="I36:L36"/>
  </mergeCells>
  <pageMargins left="0.7" right="0.7" top="0.787401575" bottom="0.787401575" header="0.3" footer="0.3"/>
  <pageSetup paperSize="9" orientation="portrait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I3:U52"/>
  <sheetViews>
    <sheetView zoomScale="85" zoomScaleNormal="85" workbookViewId="0">
      <selection activeCell="A1" sqref="A1"/>
    </sheetView>
  </sheetViews>
  <sheetFormatPr defaultColWidth="11.5" defaultRowHeight="16.8"/>
  <cols>
    <col min="9" max="9" width="11.5" customWidth="1"/>
    <col min="10" max="20" width="6" customWidth="1"/>
  </cols>
  <sheetData>
    <row r="3" spans="10:21">
      <c r="J3" s="218" t="s">
        <v>176</v>
      </c>
      <c r="K3" s="218" t="s">
        <v>177</v>
      </c>
      <c r="L3" s="218" t="s">
        <v>166</v>
      </c>
      <c r="M3" s="218" t="s">
        <v>167</v>
      </c>
      <c r="N3" s="218" t="s">
        <v>168</v>
      </c>
      <c r="O3" s="218" t="s">
        <v>169</v>
      </c>
      <c r="P3" s="218" t="s">
        <v>170</v>
      </c>
      <c r="Q3" s="218" t="s">
        <v>171</v>
      </c>
      <c r="R3" s="218" t="s">
        <v>172</v>
      </c>
      <c r="S3" s="218" t="s">
        <v>173</v>
      </c>
      <c r="T3" s="218" t="s">
        <v>174</v>
      </c>
      <c r="U3" s="218" t="s">
        <v>175</v>
      </c>
    </row>
    <row r="4" spans="9:21">
      <c r="I4" t="s">
        <v>58</v>
      </c>
      <c r="J4" s="218">
        <v>17.17</v>
      </c>
      <c r="K4" s="218">
        <v>20.58</v>
      </c>
      <c r="L4" s="218">
        <v>26.34</v>
      </c>
      <c r="M4" s="218">
        <v>27.22</v>
      </c>
      <c r="N4" s="218">
        <v>23.37</v>
      </c>
      <c r="O4" s="218">
        <v>17.14</v>
      </c>
      <c r="P4" s="218">
        <v>12.83</v>
      </c>
      <c r="Q4" s="218">
        <v>24.04</v>
      </c>
      <c r="R4" s="218">
        <v>27.56</v>
      </c>
      <c r="S4" s="218">
        <v>27.91</v>
      </c>
      <c r="T4" s="218">
        <v>18</v>
      </c>
      <c r="U4">
        <v>12.68787575</v>
      </c>
    </row>
    <row r="5" spans="9:21">
      <c r="I5" t="s">
        <v>157</v>
      </c>
      <c r="J5" s="218">
        <v>21.56</v>
      </c>
      <c r="K5" s="218">
        <v>11.57</v>
      </c>
      <c r="L5" s="218">
        <v>12.41</v>
      </c>
      <c r="M5" s="218">
        <v>14.91</v>
      </c>
      <c r="N5" s="218">
        <v>8.34</v>
      </c>
      <c r="O5" s="218">
        <v>9.23</v>
      </c>
      <c r="P5" s="218">
        <v>8.99</v>
      </c>
      <c r="Q5" s="218">
        <v>4.56</v>
      </c>
      <c r="R5" s="218">
        <v>2.71</v>
      </c>
      <c r="S5" s="218">
        <v>7.26</v>
      </c>
      <c r="T5" s="218">
        <v>13.29</v>
      </c>
      <c r="U5">
        <v>18.04624875</v>
      </c>
    </row>
    <row r="6" spans="9:21">
      <c r="I6" t="s">
        <v>372</v>
      </c>
      <c r="J6" s="218">
        <v>0</v>
      </c>
      <c r="K6" s="218">
        <v>0.2</v>
      </c>
      <c r="L6" s="218">
        <v>0</v>
      </c>
      <c r="M6" s="218">
        <v>0</v>
      </c>
      <c r="N6" s="218">
        <v>0</v>
      </c>
      <c r="O6" s="218">
        <v>0</v>
      </c>
      <c r="P6" s="218">
        <v>0</v>
      </c>
      <c r="Q6" s="218">
        <v>0</v>
      </c>
      <c r="R6" s="218">
        <v>0</v>
      </c>
      <c r="S6" s="218">
        <v>0.98</v>
      </c>
      <c r="T6" s="218">
        <v>1.56</v>
      </c>
      <c r="U6">
        <v>0.03757515</v>
      </c>
    </row>
    <row r="7" spans="9:21">
      <c r="I7" t="s">
        <v>67</v>
      </c>
      <c r="J7" s="218">
        <v>21.43</v>
      </c>
      <c r="K7" s="218">
        <v>20.7</v>
      </c>
      <c r="L7" s="218">
        <v>7.19</v>
      </c>
      <c r="M7" s="218">
        <v>6.18</v>
      </c>
      <c r="N7" s="218">
        <v>15.38</v>
      </c>
      <c r="O7" s="218">
        <v>23.08</v>
      </c>
      <c r="P7" s="218">
        <v>30.74</v>
      </c>
      <c r="Q7" s="218">
        <v>31.16</v>
      </c>
      <c r="R7" s="218">
        <v>29.53</v>
      </c>
      <c r="S7" s="218">
        <v>27.82</v>
      </c>
      <c r="T7" s="218">
        <v>21.38</v>
      </c>
      <c r="U7">
        <v>23.43671718</v>
      </c>
    </row>
    <row r="8" spans="9:21">
      <c r="I8" t="s">
        <v>68</v>
      </c>
      <c r="J8" s="218">
        <v>0</v>
      </c>
      <c r="K8" s="218">
        <v>8.7</v>
      </c>
      <c r="L8" s="218">
        <v>16.3</v>
      </c>
      <c r="M8" s="218">
        <v>15.19</v>
      </c>
      <c r="N8" s="218">
        <v>15.86</v>
      </c>
      <c r="O8" s="218">
        <v>13.79</v>
      </c>
      <c r="P8" s="218">
        <v>10.53</v>
      </c>
      <c r="Q8" s="218">
        <v>0.47</v>
      </c>
      <c r="R8" s="218">
        <v>0</v>
      </c>
      <c r="S8" s="218">
        <v>0</v>
      </c>
      <c r="T8" s="218">
        <v>0</v>
      </c>
      <c r="U8">
        <v>0</v>
      </c>
    </row>
    <row r="9" spans="9:21">
      <c r="I9" t="s">
        <v>155</v>
      </c>
      <c r="J9" s="218">
        <v>0.55</v>
      </c>
      <c r="K9" s="218">
        <v>0.24</v>
      </c>
      <c r="L9" s="218">
        <v>2.56</v>
      </c>
      <c r="M9" s="218">
        <v>1.39</v>
      </c>
      <c r="N9" s="218">
        <v>2.13</v>
      </c>
      <c r="O9" s="218">
        <v>0.32</v>
      </c>
      <c r="P9" s="218">
        <v>1.89</v>
      </c>
      <c r="Q9" s="218">
        <v>3.46</v>
      </c>
      <c r="R9" s="218">
        <v>0.38</v>
      </c>
      <c r="S9" s="218">
        <v>0.43</v>
      </c>
      <c r="T9" s="218">
        <v>0.56</v>
      </c>
      <c r="U9">
        <v>2.014967435</v>
      </c>
    </row>
    <row r="10" spans="9:21">
      <c r="I10" t="s">
        <v>155</v>
      </c>
      <c r="J10" s="218">
        <v>39.28</v>
      </c>
      <c r="K10" s="218">
        <v>38.01</v>
      </c>
      <c r="L10" s="218">
        <v>35.2</v>
      </c>
      <c r="M10" s="218">
        <v>35.11</v>
      </c>
      <c r="N10" s="218">
        <v>34.92</v>
      </c>
      <c r="O10" s="218">
        <v>36.45</v>
      </c>
      <c r="P10" s="218">
        <v>35.02</v>
      </c>
      <c r="Q10" s="218">
        <v>36.3</v>
      </c>
      <c r="R10" s="218">
        <v>39.82</v>
      </c>
      <c r="S10" s="218">
        <v>35.61</v>
      </c>
      <c r="T10" s="218">
        <v>45.2</v>
      </c>
      <c r="U10">
        <v>43.77661573</v>
      </c>
    </row>
    <row r="11" spans="9:21">
      <c r="I11" t="s">
        <v>646</v>
      </c>
      <c r="J11" s="218">
        <v>43.4</v>
      </c>
      <c r="K11" s="218">
        <v>42.1</v>
      </c>
      <c r="L11" s="218">
        <v>45.4</v>
      </c>
      <c r="M11" s="218">
        <v>45.6</v>
      </c>
      <c r="N11" s="218">
        <v>43.4</v>
      </c>
      <c r="O11" s="218">
        <v>43.4</v>
      </c>
      <c r="P11" s="218">
        <v>42.2</v>
      </c>
      <c r="Q11" s="218">
        <v>40.3</v>
      </c>
      <c r="R11" s="218">
        <v>38.8</v>
      </c>
      <c r="S11" s="218">
        <v>34.8</v>
      </c>
      <c r="T11" s="218">
        <v>39.5</v>
      </c>
      <c r="U11">
        <v>41.20774194</v>
      </c>
    </row>
    <row r="12" spans="10:10">
      <c r="J12" s="219"/>
    </row>
    <row r="13" spans="10:10">
      <c r="J13" s="219"/>
    </row>
    <row r="14" spans="10:10">
      <c r="J14" s="219"/>
    </row>
    <row r="15" spans="10:10">
      <c r="J15" s="219"/>
    </row>
    <row r="17" spans="21:21">
      <c r="U17">
        <v>43282</v>
      </c>
    </row>
    <row r="18" spans="21:21">
      <c r="U18">
        <v>12.69</v>
      </c>
    </row>
    <row r="19" spans="21:21">
      <c r="U19">
        <v>18.05</v>
      </c>
    </row>
    <row r="20" spans="21:21">
      <c r="U20">
        <v>0.04</v>
      </c>
    </row>
    <row r="21" spans="21:21">
      <c r="U21">
        <v>23.44</v>
      </c>
    </row>
    <row r="22" spans="21:21">
      <c r="U22">
        <v>0</v>
      </c>
    </row>
    <row r="23" spans="10:21">
      <c r="J23" t="s">
        <v>22</v>
      </c>
      <c r="K23" t="s">
        <v>23</v>
      </c>
      <c r="U23">
        <v>2.01</v>
      </c>
    </row>
    <row r="24" spans="9:21">
      <c r="I24" t="s">
        <v>176</v>
      </c>
      <c r="J24">
        <v>0.21</v>
      </c>
      <c r="K24">
        <v>0.24</v>
      </c>
      <c r="U24">
        <v>43.78</v>
      </c>
    </row>
    <row r="25" spans="9:21">
      <c r="I25" t="s">
        <v>177</v>
      </c>
      <c r="J25">
        <v>0.2</v>
      </c>
      <c r="K25">
        <v>0.18</v>
      </c>
      <c r="U25">
        <v>41.2</v>
      </c>
    </row>
    <row r="26" spans="9:10">
      <c r="I26" t="s">
        <v>166</v>
      </c>
      <c r="J26">
        <v>0.21</v>
      </c>
    </row>
    <row r="27" spans="9:11">
      <c r="I27" t="s">
        <v>167</v>
      </c>
      <c r="J27">
        <v>0.29</v>
      </c>
      <c r="K27">
        <v>0.22</v>
      </c>
    </row>
    <row r="28" spans="9:11">
      <c r="I28" t="s">
        <v>168</v>
      </c>
      <c r="J28">
        <v>0.27</v>
      </c>
      <c r="K28">
        <v>0.25</v>
      </c>
    </row>
    <row r="29" spans="9:11">
      <c r="I29" t="s">
        <v>169</v>
      </c>
      <c r="J29">
        <v>0.28</v>
      </c>
      <c r="K29">
        <v>0.25</v>
      </c>
    </row>
    <row r="30" spans="9:11">
      <c r="I30" t="s">
        <v>170</v>
      </c>
      <c r="J30">
        <v>0.31</v>
      </c>
      <c r="K30">
        <v>0.25</v>
      </c>
    </row>
    <row r="31" spans="9:11">
      <c r="I31" t="s">
        <v>171</v>
      </c>
      <c r="J31">
        <v>0.32</v>
      </c>
      <c r="K31">
        <v>1.06</v>
      </c>
    </row>
    <row r="32" spans="9:11">
      <c r="I32" t="s">
        <v>172</v>
      </c>
      <c r="J32">
        <v>0.26</v>
      </c>
      <c r="K32">
        <v>0.2</v>
      </c>
    </row>
    <row r="33" spans="9:11">
      <c r="I33" t="s">
        <v>173</v>
      </c>
      <c r="J33">
        <v>0.27</v>
      </c>
      <c r="K33">
        <v>0.7</v>
      </c>
    </row>
    <row r="34" spans="9:11">
      <c r="I34" t="s">
        <v>174</v>
      </c>
      <c r="J34">
        <v>0.25</v>
      </c>
      <c r="K34">
        <v>0.5</v>
      </c>
    </row>
    <row r="35" spans="9:11">
      <c r="I35" t="s">
        <v>175</v>
      </c>
      <c r="J35">
        <v>0.29</v>
      </c>
      <c r="K35">
        <v>0.39</v>
      </c>
    </row>
    <row r="36" spans="10:11">
      <c r="J36">
        <f>AVERAGE(J24:J35)</f>
        <v>0.263333333333333</v>
      </c>
      <c r="K36">
        <f>AVERAGE(K24:K35)</f>
        <v>0.385454545454545</v>
      </c>
    </row>
    <row r="40" spans="12:13">
      <c r="L40" t="s">
        <v>183</v>
      </c>
      <c r="M40" t="s">
        <v>184</v>
      </c>
    </row>
    <row r="41" spans="11:13">
      <c r="K41" t="s">
        <v>176</v>
      </c>
      <c r="L41">
        <v>91.3195057</v>
      </c>
      <c r="M41">
        <v>74</v>
      </c>
    </row>
    <row r="42" spans="11:13">
      <c r="K42" t="s">
        <v>177</v>
      </c>
      <c r="L42">
        <v>93.3262497</v>
      </c>
      <c r="M42">
        <v>92.7</v>
      </c>
    </row>
    <row r="43" spans="11:13">
      <c r="K43" t="s">
        <v>166</v>
      </c>
      <c r="L43">
        <v>93.0822414</v>
      </c>
      <c r="M43">
        <v>90.8</v>
      </c>
    </row>
    <row r="44" spans="11:13">
      <c r="K44" t="s">
        <v>167</v>
      </c>
      <c r="L44">
        <v>91.934831</v>
      </c>
      <c r="M44">
        <v>85.5</v>
      </c>
    </row>
    <row r="45" spans="11:13">
      <c r="K45" t="s">
        <v>168</v>
      </c>
      <c r="L45">
        <v>97.0483969</v>
      </c>
      <c r="M45">
        <v>85.1</v>
      </c>
    </row>
    <row r="46" spans="11:13">
      <c r="K46" t="s">
        <v>169</v>
      </c>
      <c r="L46">
        <v>95.334626</v>
      </c>
      <c r="M46">
        <v>90.7</v>
      </c>
    </row>
    <row r="47" spans="11:13">
      <c r="K47" t="s">
        <v>170</v>
      </c>
      <c r="L47">
        <v>97.0921155</v>
      </c>
      <c r="M47">
        <v>92.1</v>
      </c>
    </row>
    <row r="48" spans="11:13">
      <c r="K48" t="s">
        <v>171</v>
      </c>
      <c r="L48">
        <v>96.9015022</v>
      </c>
      <c r="M48">
        <v>90.6</v>
      </c>
    </row>
    <row r="49" spans="11:13">
      <c r="K49" t="s">
        <v>172</v>
      </c>
      <c r="L49">
        <v>94.9200567</v>
      </c>
      <c r="M49">
        <v>87.7</v>
      </c>
    </row>
    <row r="50" spans="11:13">
      <c r="K50" t="s">
        <v>173</v>
      </c>
      <c r="L50">
        <v>95.114284</v>
      </c>
      <c r="M50">
        <v>79.9</v>
      </c>
    </row>
    <row r="51" spans="11:13">
      <c r="K51" t="s">
        <v>174</v>
      </c>
      <c r="L51">
        <v>80.2469136</v>
      </c>
      <c r="M51">
        <v>81.1</v>
      </c>
    </row>
    <row r="52" spans="11:13">
      <c r="K52" t="s">
        <v>175</v>
      </c>
      <c r="L52">
        <v>91.0012339</v>
      </c>
      <c r="M52">
        <v>69.7</v>
      </c>
    </row>
  </sheetData>
  <pageMargins left="0.7" right="0.7" top="0.787401575" bottom="0.787401575" header="0.3" footer="0.3"/>
  <headerFooter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967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549</v>
      </c>
      <c r="G3" s="22"/>
      <c r="H3" s="23" t="s">
        <v>187</v>
      </c>
      <c r="I3" s="5" t="s">
        <v>188</v>
      </c>
      <c r="J3" s="35">
        <v>4505749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216">
        <f>0.95*F3</f>
        <v>521.55</v>
      </c>
      <c r="G4" s="217"/>
      <c r="H4" s="25" t="s">
        <v>187</v>
      </c>
      <c r="I4" s="7" t="s">
        <v>191</v>
      </c>
      <c r="J4" s="37">
        <v>3778864.19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78.8303511814214</v>
      </c>
      <c r="H6" s="27" t="s">
        <v>195</v>
      </c>
      <c r="I6" s="1"/>
      <c r="J6" s="40">
        <v>898103.88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21.0994294571555</v>
      </c>
      <c r="H7" s="27" t="s">
        <v>195</v>
      </c>
      <c r="I7" s="1"/>
      <c r="J7" s="40">
        <v>240383.04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0.0702193614230206</v>
      </c>
      <c r="H8" s="27" t="s">
        <v>195</v>
      </c>
      <c r="I8" s="1"/>
      <c r="J8" s="40">
        <v>800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1139286.92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44.8024236130183</v>
      </c>
      <c r="H11" s="27" t="s">
        <v>195</v>
      </c>
      <c r="I11" s="1"/>
      <c r="J11" s="40">
        <v>394064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3">
      <c r="A13" s="15"/>
      <c r="B13" s="16"/>
      <c r="C13" s="15"/>
      <c r="D13" s="15" t="s">
        <v>203</v>
      </c>
      <c r="E13" s="185">
        <v>41</v>
      </c>
      <c r="F13" s="15" t="s">
        <v>204</v>
      </c>
      <c r="G13" s="31"/>
      <c r="H13" s="15"/>
      <c r="I13" s="15"/>
      <c r="J13" s="45">
        <v>150347</v>
      </c>
      <c r="K13" s="44" t="s">
        <v>196</v>
      </c>
      <c r="L13" s="15"/>
      <c r="M13" t="s">
        <v>77</v>
      </c>
    </row>
    <row r="14" ht="21.75" customHeight="1" spans="1:12">
      <c r="A14" s="15"/>
      <c r="B14" s="16"/>
      <c r="C14" s="15"/>
      <c r="D14" s="15" t="s">
        <v>205</v>
      </c>
      <c r="E14" s="185">
        <v>43</v>
      </c>
      <c r="F14" s="15" t="s">
        <v>204</v>
      </c>
      <c r="G14" s="31"/>
      <c r="H14" s="15"/>
      <c r="I14" s="15"/>
      <c r="J14" s="45">
        <v>104232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40.3218181818182</v>
      </c>
      <c r="F15" s="15" t="s">
        <v>204</v>
      </c>
      <c r="G15" s="31"/>
      <c r="H15" s="15"/>
      <c r="I15" s="15"/>
      <c r="J15" s="45">
        <v>133062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3.90854713693294</v>
      </c>
      <c r="H16" s="27" t="s">
        <v>195</v>
      </c>
      <c r="I16" s="1"/>
      <c r="J16" s="40">
        <v>34378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12.5924388792955</v>
      </c>
      <c r="H17" s="27" t="s">
        <v>195</v>
      </c>
      <c r="I17" s="1"/>
      <c r="J17" s="40">
        <v>110758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23.2261019367466</v>
      </c>
      <c r="H18" s="27" t="s">
        <v>195</v>
      </c>
      <c r="I18" s="1"/>
      <c r="J18" s="40">
        <v>204287.4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15.4704884340067</v>
      </c>
      <c r="H19" s="27" t="s">
        <v>195</v>
      </c>
      <c r="I19" s="1"/>
      <c r="J19" s="40">
        <v>136612.16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48840.3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4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  <c r="N24" t="s">
        <v>77</v>
      </c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5060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35129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600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3500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20382.86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23100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880099.56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25.2851838839669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19.5328137452841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5.75237013868283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259187.36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A1:T64"/>
  <sheetViews>
    <sheetView zoomScale="115" zoomScaleNormal="115" workbookViewId="0">
      <selection activeCell="AA45" sqref="AA45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2.5" style="156" customWidth="1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975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976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2005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64" t="s">
        <v>815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213" t="s">
        <v>977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968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4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  <c r="N12" s="179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8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2</v>
      </c>
      <c r="E14" s="68">
        <v>1</v>
      </c>
      <c r="F14" s="68"/>
      <c r="G14" s="68"/>
      <c r="H14" s="64"/>
      <c r="I14" s="57" t="s">
        <v>248</v>
      </c>
      <c r="J14" s="64"/>
      <c r="K14" s="161">
        <v>22411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3050</v>
      </c>
      <c r="E15" s="69">
        <v>2281</v>
      </c>
      <c r="F15" s="68"/>
      <c r="G15" s="69"/>
      <c r="H15" s="98">
        <f>SUM(D15:E15)</f>
        <v>5331</v>
      </c>
      <c r="I15" s="57" t="s">
        <v>249</v>
      </c>
      <c r="J15" s="64"/>
      <c r="K15" s="162">
        <f>K14/365</f>
        <v>61.4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2900</v>
      </c>
      <c r="E16" s="69">
        <v>2200</v>
      </c>
      <c r="F16" s="68"/>
      <c r="G16" s="69"/>
      <c r="H16" s="98">
        <f>SUM(D16:E16)</f>
        <v>5100</v>
      </c>
      <c r="I16" s="56" t="s">
        <v>157</v>
      </c>
      <c r="J16" s="56"/>
      <c r="K16" s="163">
        <v>26.8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68"/>
      <c r="G17" s="70"/>
      <c r="H17" s="98"/>
      <c r="I17" s="56" t="s">
        <v>58</v>
      </c>
      <c r="J17" s="56"/>
      <c r="K17" s="164">
        <v>69.9</v>
      </c>
      <c r="L17" s="118" t="s">
        <v>59</v>
      </c>
      <c r="M17" s="178"/>
    </row>
    <row r="18" ht="15" customHeight="1" spans="1:15">
      <c r="A18" s="157"/>
      <c r="B18" s="57" t="s">
        <v>66</v>
      </c>
      <c r="C18" s="56" t="s">
        <v>55</v>
      </c>
      <c r="D18" s="71">
        <v>0</v>
      </c>
      <c r="E18" s="71">
        <v>0</v>
      </c>
      <c r="F18" s="68"/>
      <c r="G18" s="71"/>
      <c r="H18" s="98">
        <f>SUM(D18:E18)</f>
        <v>0</v>
      </c>
      <c r="I18" s="56" t="s">
        <v>655</v>
      </c>
      <c r="J18" s="56"/>
      <c r="K18" s="164">
        <v>0.993362253402491</v>
      </c>
      <c r="L18" s="118" t="s">
        <v>59</v>
      </c>
      <c r="M18" s="178"/>
      <c r="O18" s="206"/>
    </row>
    <row r="19" ht="15" customHeight="1" spans="1:13">
      <c r="A19" s="157"/>
      <c r="B19" s="57"/>
      <c r="C19" s="56"/>
      <c r="D19" s="70"/>
      <c r="E19" s="70"/>
      <c r="F19" s="187"/>
      <c r="G19" s="70"/>
      <c r="H19" s="100"/>
      <c r="I19" s="56" t="s">
        <v>978</v>
      </c>
      <c r="J19" s="56"/>
      <c r="K19" s="164">
        <v>0.657858166646127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68"/>
      <c r="G20" s="74"/>
      <c r="H20" s="101"/>
      <c r="I20" s="56" t="s">
        <v>251</v>
      </c>
      <c r="J20" s="56"/>
      <c r="K20" s="164">
        <v>1.61467771389211</v>
      </c>
      <c r="L20" s="118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12.2</v>
      </c>
      <c r="E21" s="75">
        <v>10.19556515</v>
      </c>
      <c r="F21" s="68"/>
      <c r="G21" s="77"/>
      <c r="H21" s="102"/>
      <c r="I21" s="56"/>
      <c r="J21" s="56"/>
      <c r="K21" s="164"/>
      <c r="L21" s="118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79.6</v>
      </c>
      <c r="E22" s="75">
        <v>76.27667054</v>
      </c>
      <c r="F22" s="68"/>
      <c r="G22" s="77"/>
      <c r="H22" s="78"/>
      <c r="I22" s="57"/>
      <c r="J22" s="56"/>
      <c r="K22" s="164"/>
      <c r="L22" s="118" t="s">
        <v>59</v>
      </c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68"/>
      <c r="G23" s="78"/>
      <c r="H23" s="103" t="s">
        <v>979</v>
      </c>
      <c r="I23" s="125" t="s">
        <v>76</v>
      </c>
      <c r="J23" s="56"/>
      <c r="K23" s="165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68"/>
      <c r="G24" s="78"/>
      <c r="H24" s="104" t="s">
        <v>980</v>
      </c>
      <c r="I24" s="127" t="s">
        <v>80</v>
      </c>
      <c r="J24" s="56"/>
      <c r="K24" s="163">
        <v>39.9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68"/>
      <c r="G25" s="77"/>
      <c r="H25" s="104" t="s">
        <v>296</v>
      </c>
      <c r="I25" s="128" t="s">
        <v>83</v>
      </c>
      <c r="J25" s="56"/>
      <c r="K25" s="163">
        <v>95.4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68"/>
      <c r="G26" s="78"/>
      <c r="H26" s="105" t="s">
        <v>702</v>
      </c>
      <c r="I26" s="57" t="s">
        <v>86</v>
      </c>
      <c r="J26" s="56"/>
      <c r="K26" s="163">
        <v>81.4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68"/>
      <c r="G27" s="78"/>
      <c r="H27" s="103" t="s">
        <v>272</v>
      </c>
      <c r="I27" s="129"/>
      <c r="J27" s="130"/>
      <c r="K27" s="130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68"/>
      <c r="G28" s="78"/>
      <c r="H28" s="103" t="s">
        <v>778</v>
      </c>
      <c r="I28" s="63" t="s">
        <v>93</v>
      </c>
      <c r="J28" s="133"/>
      <c r="K28" s="6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8.02758333333333</v>
      </c>
      <c r="E29" s="75">
        <v>8.108</v>
      </c>
      <c r="F29" s="68"/>
      <c r="G29" s="80"/>
      <c r="H29" s="78"/>
      <c r="I29" s="66" t="s">
        <v>26</v>
      </c>
      <c r="J29" s="64"/>
      <c r="K29" s="6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7">
        <v>45.7171506849314</v>
      </c>
      <c r="E30" s="77">
        <v>44.3029589041097</v>
      </c>
      <c r="F30" s="68"/>
      <c r="G30" s="77"/>
      <c r="H30" s="78"/>
      <c r="I30" s="66" t="s">
        <v>96</v>
      </c>
      <c r="J30" s="92"/>
      <c r="K30" s="92">
        <v>5500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2.99</v>
      </c>
      <c r="E31" s="75">
        <v>3.1</v>
      </c>
      <c r="F31" s="68"/>
      <c r="G31" s="80"/>
      <c r="H31" s="78"/>
      <c r="I31" s="66" t="s">
        <v>99</v>
      </c>
      <c r="J31" s="92"/>
      <c r="K31" s="92"/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7.32727272727273</v>
      </c>
      <c r="E32" s="75">
        <v>5.9</v>
      </c>
      <c r="F32" s="68"/>
      <c r="G32" s="80"/>
      <c r="H32" s="78"/>
      <c r="I32" s="66" t="s">
        <v>66</v>
      </c>
      <c r="J32" s="92"/>
      <c r="K32" s="92">
        <v>1400</v>
      </c>
      <c r="L32" s="120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289</v>
      </c>
      <c r="E33" s="77">
        <v>107</v>
      </c>
      <c r="F33" s="68"/>
      <c r="G33" s="80"/>
      <c r="H33" s="78"/>
      <c r="I33" s="57" t="s">
        <v>103</v>
      </c>
      <c r="J33" s="64"/>
      <c r="K33" s="205" t="s">
        <v>981</v>
      </c>
      <c r="L33" s="120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0.27</v>
      </c>
      <c r="E34" s="80">
        <v>0.231760673631494</v>
      </c>
      <c r="F34" s="68"/>
      <c r="G34" s="80"/>
      <c r="H34" s="78"/>
      <c r="I34" s="66" t="s">
        <v>105</v>
      </c>
      <c r="J34" s="64"/>
      <c r="K34" s="168">
        <v>8.483</v>
      </c>
      <c r="L34" s="114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68">
        <v>73.606</v>
      </c>
      <c r="L35" s="114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14"/>
    </row>
    <row r="39" ht="15" customHeight="1" spans="1:12">
      <c r="A39" s="157"/>
      <c r="B39" s="85"/>
      <c r="C39" s="64"/>
      <c r="D39" s="64"/>
      <c r="E39" s="64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51.3449315068494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/>
      <c r="G41" s="67"/>
      <c r="H41" s="67"/>
      <c r="I41" s="66"/>
      <c r="J41" s="64" t="s">
        <v>113</v>
      </c>
      <c r="K41" s="78" t="s">
        <v>116</v>
      </c>
      <c r="L41" s="879" t="s">
        <v>117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/>
      <c r="G42" s="78"/>
      <c r="H42" s="102"/>
      <c r="I42" s="66"/>
      <c r="J42" s="64" t="s">
        <v>113</v>
      </c>
      <c r="K42" s="78" t="s">
        <v>120</v>
      </c>
      <c r="L42" s="891" t="s">
        <v>117</v>
      </c>
    </row>
    <row r="43" ht="15" customHeight="1" spans="1:12">
      <c r="A43" s="157"/>
      <c r="B43" s="66" t="s">
        <v>121</v>
      </c>
      <c r="C43" s="64" t="s">
        <v>122</v>
      </c>
      <c r="D43" s="77">
        <v>380</v>
      </c>
      <c r="E43" s="77">
        <v>350</v>
      </c>
      <c r="F43" s="77"/>
      <c r="G43" s="77"/>
      <c r="H43" s="77"/>
      <c r="I43" s="66"/>
      <c r="J43" s="64" t="s">
        <v>123</v>
      </c>
      <c r="K43" s="172" t="s">
        <v>124</v>
      </c>
      <c r="L43" s="174">
        <v>63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410</v>
      </c>
      <c r="E44" s="77">
        <v>380</v>
      </c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38</v>
      </c>
      <c r="E45" s="75">
        <v>38</v>
      </c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41</v>
      </c>
      <c r="E46" s="75">
        <v>41</v>
      </c>
      <c r="F46" s="78"/>
      <c r="G46" s="78"/>
      <c r="H46" s="78"/>
      <c r="I46" s="66"/>
      <c r="J46" s="64" t="s">
        <v>131</v>
      </c>
      <c r="K46" s="77">
        <f>14284.7000060002/K15</f>
        <v>232.649837231274</v>
      </c>
      <c r="L46" s="174">
        <f>K46*L40/100</f>
        <v>119.453899577194</v>
      </c>
      <c r="M46" s="180"/>
    </row>
    <row r="47" ht="15" customHeight="1" spans="1:12">
      <c r="A47" s="157"/>
      <c r="B47" s="57" t="s">
        <v>132</v>
      </c>
      <c r="C47" s="56" t="s">
        <v>62</v>
      </c>
      <c r="D47" s="78" t="s">
        <v>133</v>
      </c>
      <c r="E47" s="78" t="s">
        <v>725</v>
      </c>
      <c r="F47" s="78"/>
      <c r="G47" s="78"/>
      <c r="H47" s="102"/>
      <c r="I47" s="66"/>
      <c r="J47" s="64" t="s">
        <v>134</v>
      </c>
      <c r="K47" s="77">
        <f>K46/K24*100/K25*100</f>
        <v>611.197378223529</v>
      </c>
      <c r="L47" s="174">
        <f>K47*L40/100</f>
        <v>313.81887522053</v>
      </c>
    </row>
    <row r="48" ht="15" customHeight="1" spans="1:13">
      <c r="A48" s="157"/>
      <c r="B48" s="66" t="s">
        <v>135</v>
      </c>
      <c r="C48" s="64" t="s">
        <v>240</v>
      </c>
      <c r="D48" s="69">
        <v>7254.97362222065</v>
      </c>
      <c r="E48" s="69">
        <v>5097.08905078877</v>
      </c>
      <c r="F48" s="77"/>
      <c r="G48" s="77" t="s">
        <v>77</v>
      </c>
      <c r="H48" s="77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6107.0318429435</v>
      </c>
      <c r="E49" s="69">
        <v>4359</v>
      </c>
      <c r="F49" s="77"/>
      <c r="G49" s="78"/>
      <c r="H49" s="102"/>
      <c r="I49" s="66"/>
      <c r="J49" s="64" t="s">
        <v>139</v>
      </c>
      <c r="K49" s="69">
        <v>10538</v>
      </c>
      <c r="L49" s="98"/>
    </row>
    <row r="50" ht="15" customHeight="1" spans="1:20">
      <c r="A50" s="157"/>
      <c r="B50" s="57" t="s">
        <v>140</v>
      </c>
      <c r="C50" s="64" t="s">
        <v>59</v>
      </c>
      <c r="D50" s="77">
        <v>69.7149753760673</v>
      </c>
      <c r="E50" s="78">
        <v>50</v>
      </c>
      <c r="F50" s="78"/>
      <c r="G50" s="78"/>
      <c r="H50" s="102"/>
      <c r="I50" s="66"/>
      <c r="J50" s="64" t="s">
        <v>141</v>
      </c>
      <c r="K50" s="69" t="s">
        <v>117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 t="s">
        <v>565</v>
      </c>
      <c r="J51" s="64"/>
      <c r="K51" s="78"/>
      <c r="L51" s="114"/>
      <c r="M51" s="214"/>
      <c r="N51" s="179"/>
      <c r="R51" s="182"/>
    </row>
    <row r="52" ht="15" customHeight="1" spans="1:18">
      <c r="A52" s="157"/>
      <c r="B52" s="87"/>
      <c r="C52" s="64"/>
      <c r="D52" s="78"/>
      <c r="E52" s="78"/>
      <c r="F52" s="78"/>
      <c r="G52" s="78"/>
      <c r="H52" s="102"/>
      <c r="I52" s="66"/>
      <c r="J52" s="64" t="s">
        <v>139</v>
      </c>
      <c r="K52" s="69">
        <f>K53*L40/10*24</f>
        <v>43129.7424657535</v>
      </c>
      <c r="L52" s="114"/>
      <c r="N52" s="179"/>
      <c r="R52" s="182"/>
    </row>
    <row r="53" ht="15" customHeight="1" spans="1:14">
      <c r="A53" s="157"/>
      <c r="B53" s="84"/>
      <c r="C53" s="56"/>
      <c r="D53" s="78"/>
      <c r="E53" s="107"/>
      <c r="F53" s="78"/>
      <c r="G53" s="78"/>
      <c r="H53" s="102"/>
      <c r="I53" s="64"/>
      <c r="J53" s="64" t="s">
        <v>341</v>
      </c>
      <c r="K53" s="69">
        <v>350</v>
      </c>
      <c r="L53" s="114"/>
      <c r="M53" s="215"/>
      <c r="N53" s="179"/>
    </row>
    <row r="54" ht="15" customHeight="1" spans="1:14">
      <c r="A54" s="157"/>
      <c r="B54" s="88" t="s">
        <v>142</v>
      </c>
      <c r="C54" s="89"/>
      <c r="D54" s="89"/>
      <c r="E54" s="108"/>
      <c r="F54" s="99"/>
      <c r="G54" s="99"/>
      <c r="H54" s="109"/>
      <c r="I54" s="78"/>
      <c r="J54" s="78"/>
      <c r="K54" s="78"/>
      <c r="L54" s="114"/>
      <c r="N54" s="179"/>
    </row>
    <row r="55" ht="15" customHeight="1" spans="1:14">
      <c r="A55" s="157"/>
      <c r="B55" s="90" t="s">
        <v>143</v>
      </c>
      <c r="C55" s="78"/>
      <c r="D55" s="64"/>
      <c r="E55" s="64"/>
      <c r="F55" s="64"/>
      <c r="G55" s="110" t="s">
        <v>144</v>
      </c>
      <c r="H55" s="64"/>
      <c r="I55" s="83"/>
      <c r="J55" s="140"/>
      <c r="K55" s="140"/>
      <c r="L55" s="152"/>
      <c r="N55" s="156" t="s">
        <v>77</v>
      </c>
    </row>
    <row r="56" ht="15" customHeight="1" spans="1:18">
      <c r="A56" s="157"/>
      <c r="B56" s="66"/>
      <c r="C56" s="91" t="s">
        <v>145</v>
      </c>
      <c r="D56" s="92"/>
      <c r="E56" s="92"/>
      <c r="F56" s="64"/>
      <c r="G56" s="64"/>
      <c r="H56" s="64"/>
      <c r="I56" s="78" t="s">
        <v>145</v>
      </c>
      <c r="J56" s="64"/>
      <c r="K56" s="64"/>
      <c r="L56" s="114"/>
      <c r="R56" s="183"/>
    </row>
    <row r="57" ht="15" customHeight="1" spans="1:12">
      <c r="A57" s="157"/>
      <c r="B57" s="66" t="s">
        <v>146</v>
      </c>
      <c r="C57" s="93">
        <v>604843</v>
      </c>
      <c r="D57" s="189">
        <v>15.7</v>
      </c>
      <c r="E57" s="111" t="s">
        <v>147</v>
      </c>
      <c r="F57" s="64"/>
      <c r="G57" s="64" t="s">
        <v>148</v>
      </c>
      <c r="H57" s="64"/>
      <c r="I57" s="69"/>
      <c r="J57" s="69"/>
      <c r="K57" s="111" t="s">
        <v>149</v>
      </c>
      <c r="L57" s="114"/>
    </row>
    <row r="58" ht="15" customHeight="1" spans="1:12">
      <c r="A58" s="157"/>
      <c r="B58" s="66" t="s">
        <v>430</v>
      </c>
      <c r="C58" s="93">
        <v>76927</v>
      </c>
      <c r="D58" s="189">
        <f>D57/C57*C58</f>
        <v>1.99680561732549</v>
      </c>
      <c r="E58" s="111" t="s">
        <v>147</v>
      </c>
      <c r="F58" s="64"/>
      <c r="G58" s="64"/>
      <c r="H58" s="64"/>
      <c r="I58" s="69"/>
      <c r="J58" s="69"/>
      <c r="K58" s="111"/>
      <c r="L58" s="114"/>
    </row>
    <row r="59" ht="15" customHeight="1" spans="1:12">
      <c r="A59" s="157"/>
      <c r="B59" s="66" t="s">
        <v>431</v>
      </c>
      <c r="C59" s="93">
        <f>C57-C58</f>
        <v>527916</v>
      </c>
      <c r="D59" s="189">
        <f>D57/C57*C59</f>
        <v>13.7031943826745</v>
      </c>
      <c r="E59" s="111" t="s">
        <v>147</v>
      </c>
      <c r="F59" s="64"/>
      <c r="G59" s="64"/>
      <c r="H59" s="64"/>
      <c r="I59" s="69"/>
      <c r="J59" s="69"/>
      <c r="K59" s="111"/>
      <c r="L59" s="114"/>
    </row>
    <row r="60" ht="15" customHeight="1" spans="1:12">
      <c r="A60" s="157"/>
      <c r="B60" s="81"/>
      <c r="C60" s="94"/>
      <c r="D60" s="89"/>
      <c r="E60" s="94"/>
      <c r="F60" s="94"/>
      <c r="G60" s="94"/>
      <c r="H60" s="94"/>
      <c r="I60" s="89"/>
      <c r="J60" s="89"/>
      <c r="K60" s="153"/>
      <c r="L60" s="115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spans="1:1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</row>
    <row r="63" ht="16.8" spans="1:8">
      <c r="A63" s="157"/>
      <c r="G63"/>
      <c r="H63"/>
    </row>
    <row r="64" ht="16.8" spans="7:8">
      <c r="G64"/>
      <c r="H64"/>
    </row>
  </sheetData>
  <mergeCells count="2">
    <mergeCell ref="B2:L2"/>
    <mergeCell ref="I36:L36"/>
  </mergeCells>
  <pageMargins left="0.7" right="0.7" top="0.787401575" bottom="0.7874015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K4:W52"/>
  <sheetViews>
    <sheetView zoomScale="115" zoomScaleNormal="115" topLeftCell="A9" workbookViewId="0">
      <selection activeCell="AA45" sqref="AA45"/>
    </sheetView>
  </sheetViews>
  <sheetFormatPr defaultColWidth="11.5" defaultRowHeight="16.8"/>
  <cols>
    <col min="12" max="12" width="4.5" customWidth="1"/>
    <col min="13" max="13" width="4.16346153846154" customWidth="1"/>
    <col min="14" max="14" width="4.5" customWidth="1"/>
    <col min="15" max="15" width="4.33653846153846" customWidth="1"/>
    <col min="16" max="16" width="3.83653846153846" customWidth="1"/>
    <col min="17" max="18" width="4.33653846153846" customWidth="1"/>
    <col min="19" max="19" width="4.16346153846154" customWidth="1"/>
    <col min="20" max="20" width="4.33653846153846" customWidth="1"/>
    <col min="21" max="23" width="3" customWidth="1"/>
  </cols>
  <sheetData>
    <row r="4" spans="12:23">
      <c r="L4" t="s">
        <v>177</v>
      </c>
      <c r="M4" t="s">
        <v>166</v>
      </c>
      <c r="N4" t="s">
        <v>167</v>
      </c>
      <c r="O4" t="s">
        <v>168</v>
      </c>
      <c r="P4" t="s">
        <v>169</v>
      </c>
      <c r="Q4" t="s">
        <v>170</v>
      </c>
      <c r="R4" t="s">
        <v>171</v>
      </c>
      <c r="S4" t="s">
        <v>172</v>
      </c>
      <c r="T4" t="s">
        <v>173</v>
      </c>
      <c r="U4" t="s">
        <v>174</v>
      </c>
      <c r="V4" t="s">
        <v>175</v>
      </c>
      <c r="W4" t="s">
        <v>176</v>
      </c>
    </row>
    <row r="5" spans="11:23">
      <c r="K5" s="155" t="s">
        <v>58</v>
      </c>
      <c r="L5" s="212">
        <v>71.35212051</v>
      </c>
      <c r="M5" s="212">
        <v>70.69118878</v>
      </c>
      <c r="N5" s="212">
        <v>62.04718282</v>
      </c>
      <c r="O5" s="212">
        <v>71.8124387</v>
      </c>
      <c r="P5" s="212">
        <v>72.63365944</v>
      </c>
      <c r="Q5" s="212">
        <v>71.37550358</v>
      </c>
      <c r="R5" s="212">
        <v>70.25492658</v>
      </c>
      <c r="S5" s="212">
        <v>74.06829793</v>
      </c>
      <c r="T5" s="199">
        <v>63.1244796</v>
      </c>
      <c r="U5" s="199">
        <v>71.11424369</v>
      </c>
      <c r="V5" s="199">
        <v>69.26030491</v>
      </c>
      <c r="W5" s="199">
        <v>71.20243713</v>
      </c>
    </row>
    <row r="6" spans="11:23">
      <c r="K6" s="155" t="s">
        <v>157</v>
      </c>
      <c r="L6" s="212">
        <v>20.913694</v>
      </c>
      <c r="M6" s="212">
        <v>28.65159198</v>
      </c>
      <c r="N6" s="212">
        <v>27.73112208</v>
      </c>
      <c r="O6" s="212">
        <v>27.02551972</v>
      </c>
      <c r="P6" s="212">
        <v>27.36634056</v>
      </c>
      <c r="Q6" s="212">
        <v>28.62449642</v>
      </c>
      <c r="R6" s="212">
        <v>29.74507342</v>
      </c>
      <c r="S6" s="212">
        <v>25.93170207</v>
      </c>
      <c r="T6" s="199">
        <v>36.8755204</v>
      </c>
      <c r="U6" s="199">
        <v>24.52807061</v>
      </c>
      <c r="V6" s="199">
        <v>20.73969509</v>
      </c>
      <c r="W6" s="199">
        <v>22.05961412</v>
      </c>
    </row>
    <row r="7" spans="11:23">
      <c r="K7" s="155" t="s">
        <v>978</v>
      </c>
      <c r="L7" s="212">
        <v>7.734185489</v>
      </c>
      <c r="M7" s="212">
        <v>0</v>
      </c>
      <c r="N7" s="212">
        <v>0</v>
      </c>
      <c r="O7" s="212">
        <v>0</v>
      </c>
      <c r="P7" s="212">
        <v>0</v>
      </c>
      <c r="Q7" s="212">
        <v>0</v>
      </c>
      <c r="R7" s="212">
        <v>0</v>
      </c>
      <c r="S7" s="212">
        <v>0</v>
      </c>
      <c r="T7" s="199">
        <v>0</v>
      </c>
      <c r="U7" s="199">
        <v>0</v>
      </c>
      <c r="V7" s="199">
        <v>0</v>
      </c>
      <c r="W7" s="199">
        <v>0</v>
      </c>
    </row>
    <row r="8" spans="11:23">
      <c r="K8" s="155" t="s">
        <v>251</v>
      </c>
      <c r="L8" s="212">
        <v>0</v>
      </c>
      <c r="M8" s="212">
        <v>0</v>
      </c>
      <c r="N8" s="212">
        <v>0</v>
      </c>
      <c r="O8" s="212">
        <v>0</v>
      </c>
      <c r="P8" s="212">
        <v>0</v>
      </c>
      <c r="Q8" s="212">
        <v>0</v>
      </c>
      <c r="R8" s="212">
        <v>0</v>
      </c>
      <c r="S8" s="212">
        <v>0</v>
      </c>
      <c r="T8" s="199">
        <v>0</v>
      </c>
      <c r="U8" s="199">
        <v>4.357685707</v>
      </c>
      <c r="V8" s="199">
        <v>10</v>
      </c>
      <c r="W8" s="199">
        <v>6.737948749</v>
      </c>
    </row>
    <row r="9" spans="11:23">
      <c r="K9" s="155" t="s">
        <v>982</v>
      </c>
      <c r="L9" s="212">
        <v>0</v>
      </c>
      <c r="M9" s="212">
        <v>0.65721925</v>
      </c>
      <c r="N9" s="212">
        <v>10.2216951</v>
      </c>
      <c r="O9" s="212">
        <v>1.162041578</v>
      </c>
      <c r="P9" s="212">
        <v>0</v>
      </c>
      <c r="Q9" s="212">
        <v>0</v>
      </c>
      <c r="R9" s="212">
        <v>0</v>
      </c>
      <c r="S9" s="212">
        <v>0</v>
      </c>
      <c r="T9" s="199">
        <v>0</v>
      </c>
      <c r="U9" s="199">
        <v>0</v>
      </c>
      <c r="V9" s="199">
        <v>0</v>
      </c>
      <c r="W9" s="199">
        <v>0</v>
      </c>
    </row>
    <row r="10" spans="11:23">
      <c r="K10" s="155" t="s">
        <v>646</v>
      </c>
      <c r="L10">
        <v>63.38956667</v>
      </c>
      <c r="M10">
        <v>61.10790323</v>
      </c>
      <c r="N10">
        <v>60.48246667</v>
      </c>
      <c r="O10">
        <v>67.09548387</v>
      </c>
      <c r="P10">
        <v>68.38516129</v>
      </c>
      <c r="Q10">
        <v>68.26071429</v>
      </c>
      <c r="R10">
        <v>59.09354839</v>
      </c>
      <c r="S10">
        <v>61.98333333</v>
      </c>
      <c r="T10">
        <v>61.98709677</v>
      </c>
      <c r="U10">
        <v>54.38666667</v>
      </c>
      <c r="V10">
        <v>57.12903226</v>
      </c>
      <c r="W10">
        <v>54.00322581</v>
      </c>
    </row>
    <row r="17" spans="15:15">
      <c r="O17" t="s">
        <v>77</v>
      </c>
    </row>
    <row r="24" spans="12:13">
      <c r="L24" t="s">
        <v>259</v>
      </c>
      <c r="M24" t="s">
        <v>23</v>
      </c>
    </row>
    <row r="25" spans="11:13">
      <c r="K25" t="s">
        <v>177</v>
      </c>
      <c r="L25" s="203">
        <v>0.23</v>
      </c>
      <c r="M25">
        <v>0.19</v>
      </c>
    </row>
    <row r="26" spans="11:12">
      <c r="K26" t="s">
        <v>166</v>
      </c>
      <c r="L26" s="203">
        <v>0.28</v>
      </c>
    </row>
    <row r="27" spans="11:12">
      <c r="K27" t="s">
        <v>167</v>
      </c>
      <c r="L27" s="203">
        <v>0.27</v>
      </c>
    </row>
    <row r="28" spans="11:13">
      <c r="K28" t="s">
        <v>168</v>
      </c>
      <c r="L28" s="203">
        <v>0.27</v>
      </c>
      <c r="M28">
        <v>0.21</v>
      </c>
    </row>
    <row r="29" spans="11:12">
      <c r="K29" t="s">
        <v>169</v>
      </c>
      <c r="L29" s="203">
        <v>0.29</v>
      </c>
    </row>
    <row r="30" spans="11:13">
      <c r="K30" t="s">
        <v>170</v>
      </c>
      <c r="L30" s="203">
        <v>0.27</v>
      </c>
      <c r="M30">
        <v>0.23</v>
      </c>
    </row>
    <row r="31" spans="11:12">
      <c r="K31" t="s">
        <v>171</v>
      </c>
      <c r="L31" s="203">
        <v>0.24</v>
      </c>
    </row>
    <row r="32" spans="11:13">
      <c r="K32" t="s">
        <v>172</v>
      </c>
      <c r="L32" s="203">
        <v>0.29</v>
      </c>
      <c r="M32">
        <v>0.22</v>
      </c>
    </row>
    <row r="33" spans="11:13">
      <c r="K33" t="s">
        <v>173</v>
      </c>
      <c r="L33" s="203">
        <v>0.27</v>
      </c>
      <c r="M33">
        <v>0.24</v>
      </c>
    </row>
    <row r="34" spans="11:13">
      <c r="K34" t="s">
        <v>174</v>
      </c>
      <c r="L34" s="203">
        <v>0.3</v>
      </c>
      <c r="M34">
        <v>0.28</v>
      </c>
    </row>
    <row r="35" spans="11:12">
      <c r="K35" t="s">
        <v>175</v>
      </c>
      <c r="L35" s="203">
        <v>0.31</v>
      </c>
    </row>
    <row r="36" spans="11:13">
      <c r="K36" t="s">
        <v>176</v>
      </c>
      <c r="L36" s="203">
        <v>0.28</v>
      </c>
      <c r="M36">
        <v>0.25</v>
      </c>
    </row>
    <row r="40" spans="12:12">
      <c r="L40" t="s">
        <v>183</v>
      </c>
    </row>
    <row r="41" spans="11:12">
      <c r="K41" t="s">
        <v>177</v>
      </c>
      <c r="L41" s="191">
        <v>64.5281583</v>
      </c>
    </row>
    <row r="42" spans="11:12">
      <c r="K42" t="s">
        <v>166</v>
      </c>
      <c r="L42" s="191">
        <v>59.59640595</v>
      </c>
    </row>
    <row r="43" spans="11:12">
      <c r="K43" t="s">
        <v>167</v>
      </c>
      <c r="L43" s="191">
        <v>75</v>
      </c>
    </row>
    <row r="44" spans="11:12">
      <c r="K44" t="s">
        <v>168</v>
      </c>
      <c r="L44" s="191">
        <v>75.95338047</v>
      </c>
    </row>
    <row r="45" spans="11:12">
      <c r="K45" t="s">
        <v>169</v>
      </c>
      <c r="L45" s="191">
        <v>67.54161143</v>
      </c>
    </row>
    <row r="46" spans="11:12">
      <c r="K46" t="s">
        <v>170</v>
      </c>
      <c r="L46" s="191">
        <v>68.47276582</v>
      </c>
    </row>
    <row r="47" spans="11:12">
      <c r="K47" t="s">
        <v>171</v>
      </c>
      <c r="L47" s="191">
        <v>46.33046104</v>
      </c>
    </row>
    <row r="48" spans="11:12">
      <c r="K48" t="s">
        <v>172</v>
      </c>
      <c r="L48" s="191">
        <v>54.17427702</v>
      </c>
    </row>
    <row r="49" spans="11:12">
      <c r="K49" t="s">
        <v>173</v>
      </c>
      <c r="L49" s="191">
        <v>56.58233908</v>
      </c>
    </row>
    <row r="50" spans="11:12">
      <c r="K50" t="s">
        <v>174</v>
      </c>
      <c r="L50" s="191">
        <v>48.27435312</v>
      </c>
    </row>
    <row r="51" spans="11:12">
      <c r="K51" t="s">
        <v>175</v>
      </c>
      <c r="L51" s="191">
        <v>53.0498088</v>
      </c>
    </row>
    <row r="52" spans="11:12">
      <c r="K52" t="s">
        <v>176</v>
      </c>
      <c r="L52" s="191">
        <v>53.12208763</v>
      </c>
    </row>
  </sheetData>
  <pageMargins left="0.7" right="0.7" top="0.787401575" bottom="0.787401575" header="0.3" footer="0.3"/>
  <headerFooter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399975585192419"/>
  </sheetPr>
  <dimension ref="A1:T63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983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984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2004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985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717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8" t="s">
        <v>986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5" t="s">
        <v>281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5" t="s">
        <v>968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4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  <c r="N12" s="179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2</v>
      </c>
      <c r="E14" s="68">
        <v>2</v>
      </c>
      <c r="F14" s="67"/>
      <c r="G14" s="68"/>
      <c r="H14" s="64"/>
      <c r="I14" s="57" t="s">
        <v>248</v>
      </c>
      <c r="J14" s="64"/>
      <c r="K14" s="161">
        <v>15449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3000</v>
      </c>
      <c r="E15" s="69">
        <v>3800</v>
      </c>
      <c r="F15" s="67"/>
      <c r="G15" s="69"/>
      <c r="H15" s="98">
        <f>SUM(D15:E15)</f>
        <v>6800</v>
      </c>
      <c r="I15" s="57" t="s">
        <v>249</v>
      </c>
      <c r="J15" s="64"/>
      <c r="K15" s="162">
        <f>K14/365</f>
        <v>42.3260273972603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2800</v>
      </c>
      <c r="E16" s="69">
        <v>3600</v>
      </c>
      <c r="F16" s="67"/>
      <c r="G16" s="69"/>
      <c r="H16" s="98">
        <f>SUM(D16:E16)</f>
        <v>6400</v>
      </c>
      <c r="I16" s="56" t="s">
        <v>157</v>
      </c>
      <c r="J16" s="56"/>
      <c r="K16" s="163">
        <v>0.822002897739675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67"/>
      <c r="G17" s="70"/>
      <c r="H17" s="98"/>
      <c r="I17" s="56" t="s">
        <v>58</v>
      </c>
      <c r="J17" s="56"/>
      <c r="K17" s="164">
        <v>44.8</v>
      </c>
      <c r="L17" s="118" t="s">
        <v>59</v>
      </c>
      <c r="M17" s="178"/>
    </row>
    <row r="18" ht="15" customHeight="1" spans="1:15">
      <c r="A18" s="157"/>
      <c r="B18" s="57" t="s">
        <v>66</v>
      </c>
      <c r="C18" s="56" t="s">
        <v>55</v>
      </c>
      <c r="D18" s="71">
        <v>0</v>
      </c>
      <c r="E18" s="71">
        <v>1200</v>
      </c>
      <c r="F18" s="67"/>
      <c r="G18" s="71"/>
      <c r="H18" s="98">
        <f>SUM(D18:E18)</f>
        <v>1200</v>
      </c>
      <c r="I18" s="56" t="s">
        <v>67</v>
      </c>
      <c r="J18" s="56"/>
      <c r="K18" s="164">
        <v>10.7</v>
      </c>
      <c r="L18" s="118" t="s">
        <v>59</v>
      </c>
      <c r="M18" s="178"/>
      <c r="O18" s="206"/>
    </row>
    <row r="19" ht="15" customHeight="1" spans="1:13">
      <c r="A19" s="157"/>
      <c r="B19" s="57"/>
      <c r="C19" s="56"/>
      <c r="D19" s="70"/>
      <c r="E19" s="70"/>
      <c r="F19" s="159"/>
      <c r="G19" s="70"/>
      <c r="H19" s="100"/>
      <c r="I19" s="56" t="s">
        <v>291</v>
      </c>
      <c r="J19" s="56"/>
      <c r="K19" s="164">
        <v>39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67"/>
      <c r="G20" s="74"/>
      <c r="H20" s="101"/>
      <c r="I20" s="56" t="s">
        <v>987</v>
      </c>
      <c r="J20" s="56"/>
      <c r="K20" s="164">
        <v>1.97</v>
      </c>
      <c r="L20" s="118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7.1</v>
      </c>
      <c r="E21" s="75">
        <v>5.5</v>
      </c>
      <c r="F21" s="67"/>
      <c r="G21" s="77"/>
      <c r="H21" s="102"/>
      <c r="I21" s="56" t="s">
        <v>988</v>
      </c>
      <c r="J21" s="56"/>
      <c r="K21" s="164">
        <v>2.29602861491769</v>
      </c>
      <c r="L21" s="118" t="s">
        <v>59</v>
      </c>
      <c r="M21" s="178"/>
    </row>
    <row r="22" ht="15" customHeight="1" spans="1:13">
      <c r="A22" s="157"/>
      <c r="B22" s="66" t="s">
        <v>73</v>
      </c>
      <c r="C22" s="64" t="s">
        <v>59</v>
      </c>
      <c r="D22" s="75">
        <v>78.6</v>
      </c>
      <c r="E22" s="75">
        <v>73.0634901590173</v>
      </c>
      <c r="F22" s="67"/>
      <c r="G22" s="77"/>
      <c r="H22" s="78"/>
      <c r="I22" s="57" t="s">
        <v>989</v>
      </c>
      <c r="J22" s="56"/>
      <c r="K22" s="164">
        <v>0.408730722632988</v>
      </c>
      <c r="L22" s="118" t="s">
        <v>59</v>
      </c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67"/>
      <c r="G23" s="78"/>
      <c r="H23" s="103" t="s">
        <v>564</v>
      </c>
      <c r="I23" s="125" t="s">
        <v>76</v>
      </c>
      <c r="J23" s="56"/>
      <c r="K23" s="165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77"/>
      <c r="F24" s="67"/>
      <c r="G24" s="78"/>
      <c r="H24" s="104" t="s">
        <v>990</v>
      </c>
      <c r="I24" s="127" t="s">
        <v>80</v>
      </c>
      <c r="J24" s="56"/>
      <c r="K24" s="163">
        <v>21.76208873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67"/>
      <c r="G25" s="77"/>
      <c r="H25" s="104" t="s">
        <v>427</v>
      </c>
      <c r="I25" s="128" t="s">
        <v>83</v>
      </c>
      <c r="J25" s="56"/>
      <c r="K25" s="163">
        <v>90.95723007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67"/>
      <c r="G26" s="78"/>
      <c r="H26" s="105" t="s">
        <v>270</v>
      </c>
      <c r="I26" s="57" t="s">
        <v>86</v>
      </c>
      <c r="J26" s="56"/>
      <c r="K26" s="163">
        <v>76.89190536</v>
      </c>
      <c r="L26" s="118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67"/>
      <c r="G27" s="78"/>
      <c r="H27" s="103" t="s">
        <v>378</v>
      </c>
      <c r="I27" s="129"/>
      <c r="J27" s="130"/>
      <c r="K27" s="130"/>
      <c r="L27" s="167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67"/>
      <c r="G28" s="78"/>
      <c r="H28" s="103" t="s">
        <v>429</v>
      </c>
      <c r="I28" s="63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7.8</v>
      </c>
      <c r="E29" s="75">
        <v>7.9</v>
      </c>
      <c r="F29" s="67"/>
      <c r="G29" s="80"/>
      <c r="H29" s="78"/>
      <c r="I29" s="66" t="s">
        <v>26</v>
      </c>
      <c r="J29" s="64"/>
      <c r="K29" s="64">
        <v>1</v>
      </c>
      <c r="L29" s="114"/>
    </row>
    <row r="30" ht="15" customHeight="1" spans="1:12">
      <c r="A30" s="157"/>
      <c r="B30" s="66" t="s">
        <v>94</v>
      </c>
      <c r="C30" s="56" t="s">
        <v>95</v>
      </c>
      <c r="D30" s="77">
        <v>48</v>
      </c>
      <c r="E30" s="77">
        <v>45</v>
      </c>
      <c r="F30" s="67"/>
      <c r="G30" s="77"/>
      <c r="H30" s="78"/>
      <c r="I30" s="66" t="s">
        <v>96</v>
      </c>
      <c r="J30" s="92"/>
      <c r="K30" s="92">
        <v>4500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2.68125</v>
      </c>
      <c r="E31" s="75">
        <v>3</v>
      </c>
      <c r="F31" s="67"/>
      <c r="G31" s="80"/>
      <c r="H31" s="78"/>
      <c r="I31" s="66" t="s">
        <v>99</v>
      </c>
      <c r="J31" s="92"/>
      <c r="K31" s="92">
        <v>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4.59375</v>
      </c>
      <c r="E32" s="75">
        <v>4.4</v>
      </c>
      <c r="F32" s="67"/>
      <c r="G32" s="80"/>
      <c r="H32" s="78"/>
      <c r="I32" s="66" t="s">
        <v>66</v>
      </c>
      <c r="J32" s="92"/>
      <c r="K32" s="92">
        <v>1800</v>
      </c>
      <c r="L32" s="114" t="s">
        <v>55</v>
      </c>
    </row>
    <row r="33" ht="15" customHeight="1" spans="1:16">
      <c r="A33" s="157"/>
      <c r="B33" s="66" t="s">
        <v>101</v>
      </c>
      <c r="C33" s="64" t="s">
        <v>102</v>
      </c>
      <c r="D33" s="77">
        <v>261</v>
      </c>
      <c r="E33" s="77">
        <v>118</v>
      </c>
      <c r="F33" s="67"/>
      <c r="G33" s="80"/>
      <c r="H33" s="78"/>
      <c r="I33" s="57" t="s">
        <v>103</v>
      </c>
      <c r="J33" s="64"/>
      <c r="K33" s="205" t="s">
        <v>991</v>
      </c>
      <c r="L33" s="114" t="s">
        <v>59</v>
      </c>
      <c r="N33" s="207"/>
      <c r="O33" s="208"/>
      <c r="P33" s="209"/>
    </row>
    <row r="34" ht="15" customHeight="1" spans="1:16">
      <c r="A34" s="157"/>
      <c r="B34" s="66" t="s">
        <v>104</v>
      </c>
      <c r="C34" s="64" t="s">
        <v>62</v>
      </c>
      <c r="D34" s="80">
        <v>0.250802531625229</v>
      </c>
      <c r="E34" s="80">
        <v>0.21</v>
      </c>
      <c r="F34" s="67"/>
      <c r="G34" s="80"/>
      <c r="H34" s="78"/>
      <c r="I34" s="66" t="s">
        <v>105</v>
      </c>
      <c r="J34" s="64"/>
      <c r="K34" s="168">
        <v>5.5</v>
      </c>
      <c r="L34" s="114" t="s">
        <v>59</v>
      </c>
      <c r="N34" s="210"/>
      <c r="P34" s="211"/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68">
        <v>73.1</v>
      </c>
      <c r="L35" s="114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63</v>
      </c>
      <c r="E39" s="78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49.2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/>
      <c r="H41" s="67"/>
      <c r="I41" s="66"/>
      <c r="J41" s="64" t="s">
        <v>113</v>
      </c>
      <c r="K41" s="78" t="s">
        <v>116</v>
      </c>
      <c r="L41" s="103">
        <v>44.6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/>
      <c r="H42" s="102"/>
      <c r="I42" s="66"/>
      <c r="J42" s="64" t="s">
        <v>113</v>
      </c>
      <c r="K42" s="78" t="s">
        <v>120</v>
      </c>
      <c r="L42" s="173">
        <v>0.27113238109589</v>
      </c>
    </row>
    <row r="43" ht="15" customHeight="1" spans="1:12">
      <c r="A43" s="157"/>
      <c r="B43" s="66" t="s">
        <v>121</v>
      </c>
      <c r="C43" s="64" t="s">
        <v>122</v>
      </c>
      <c r="D43" s="77">
        <v>550</v>
      </c>
      <c r="E43" s="77">
        <v>190</v>
      </c>
      <c r="F43" s="77">
        <v>190</v>
      </c>
      <c r="G43" s="77"/>
      <c r="H43" s="77"/>
      <c r="I43" s="66"/>
      <c r="J43" s="64" t="s">
        <v>123</v>
      </c>
      <c r="K43" s="172" t="s">
        <v>124</v>
      </c>
      <c r="L43" s="174">
        <v>24</v>
      </c>
    </row>
    <row r="44" ht="15" customHeight="1" spans="1:17">
      <c r="A44" s="157"/>
      <c r="B44" s="66" t="s">
        <v>125</v>
      </c>
      <c r="C44" s="64" t="s">
        <v>122</v>
      </c>
      <c r="D44" s="77">
        <v>570</v>
      </c>
      <c r="E44" s="77">
        <f>E43/E45*E46</f>
        <v>240.47619047619</v>
      </c>
      <c r="F44" s="77">
        <f>F43/F45*F46</f>
        <v>240.47619047619</v>
      </c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42.5</v>
      </c>
      <c r="E45" s="78">
        <v>39.9</v>
      </c>
      <c r="F45" s="78">
        <v>39.9</v>
      </c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44</v>
      </c>
      <c r="E46" s="78">
        <v>50.5</v>
      </c>
      <c r="F46" s="78">
        <v>50.5</v>
      </c>
      <c r="G46" s="78"/>
      <c r="H46" s="78"/>
      <c r="I46" s="66"/>
      <c r="J46" s="64" t="s">
        <v>131</v>
      </c>
      <c r="K46" s="69">
        <f>6846.04973567764/K15</f>
        <v>161.745624540251</v>
      </c>
      <c r="L46" s="174">
        <f>K46*L40/100</f>
        <v>79.5788472738035</v>
      </c>
      <c r="M46" s="180"/>
    </row>
    <row r="47" ht="15" customHeight="1" spans="1:12">
      <c r="A47" s="157"/>
      <c r="B47" s="57" t="s">
        <v>132</v>
      </c>
      <c r="C47" s="56" t="s">
        <v>62</v>
      </c>
      <c r="D47" s="78" t="s">
        <v>133</v>
      </c>
      <c r="E47" s="78" t="s">
        <v>725</v>
      </c>
      <c r="F47" s="78" t="s">
        <v>725</v>
      </c>
      <c r="G47" s="78"/>
      <c r="H47" s="102"/>
      <c r="I47" s="66"/>
      <c r="J47" s="64" t="s">
        <v>134</v>
      </c>
      <c r="K47" s="69">
        <f>K46/K24*100/K25*100</f>
        <v>817.13674109985</v>
      </c>
      <c r="L47" s="174">
        <f>K47*L40/100</f>
        <v>402.031276621126</v>
      </c>
    </row>
    <row r="48" ht="15" customHeight="1" spans="1:13">
      <c r="A48" s="157"/>
      <c r="B48" s="66" t="s">
        <v>135</v>
      </c>
      <c r="C48" s="64" t="s">
        <v>240</v>
      </c>
      <c r="D48" s="69">
        <v>8002</v>
      </c>
      <c r="E48" s="69">
        <v>2441</v>
      </c>
      <c r="F48" s="69">
        <v>5439.66666666667</v>
      </c>
      <c r="G48" s="77" t="s">
        <v>77</v>
      </c>
      <c r="H48" s="77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D50*365*24/100</f>
        <v>6390.53636363636</v>
      </c>
      <c r="E49" s="69">
        <f>E50*365*24/100</f>
        <v>1777.77368421053</v>
      </c>
      <c r="F49" s="69">
        <f>F50*365*24/100</f>
        <v>4694.10305263158</v>
      </c>
      <c r="G49" s="78"/>
      <c r="H49" s="102"/>
      <c r="I49" s="66"/>
      <c r="J49" s="64" t="s">
        <v>139</v>
      </c>
      <c r="K49" s="69">
        <v>12998.4974885845</v>
      </c>
      <c r="L49" s="98"/>
    </row>
    <row r="50" ht="15" customHeight="1" spans="1:20">
      <c r="A50" s="157"/>
      <c r="B50" s="57" t="s">
        <v>140</v>
      </c>
      <c r="C50" s="64" t="s">
        <v>59</v>
      </c>
      <c r="D50" s="77">
        <v>72.9513283520133</v>
      </c>
      <c r="E50" s="77">
        <v>20.2942201393896</v>
      </c>
      <c r="F50" s="77">
        <v>53.5856512857486</v>
      </c>
      <c r="G50" s="78"/>
      <c r="H50" s="102"/>
      <c r="I50" s="66"/>
      <c r="J50" s="64" t="s">
        <v>141</v>
      </c>
      <c r="K50" s="69">
        <f>K49/K15</f>
        <v>307.104122165405</v>
      </c>
      <c r="L50" s="114"/>
      <c r="N50" s="179"/>
      <c r="R50" s="182"/>
      <c r="S50" s="182"/>
      <c r="T50" s="182"/>
    </row>
    <row r="51" ht="15" customHeight="1" spans="1:14">
      <c r="A51" s="157"/>
      <c r="B51" s="84"/>
      <c r="C51" s="56"/>
      <c r="D51" s="78"/>
      <c r="E51" s="107"/>
      <c r="F51" s="78"/>
      <c r="G51" s="78"/>
      <c r="H51" s="102"/>
      <c r="I51" s="64"/>
      <c r="J51" s="64"/>
      <c r="K51" s="78"/>
      <c r="L51" s="114"/>
      <c r="N51" s="179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412720</v>
      </c>
      <c r="D55" s="189">
        <v>8.7</v>
      </c>
      <c r="E55" s="111" t="s">
        <v>147</v>
      </c>
      <c r="F55" s="64"/>
      <c r="G55" s="64" t="s">
        <v>148</v>
      </c>
      <c r="H55" s="64"/>
      <c r="I55" s="69">
        <v>1508736</v>
      </c>
      <c r="J55" s="69">
        <v>30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643</v>
      </c>
      <c r="H56" s="64"/>
      <c r="I56" s="69">
        <v>3194324</v>
      </c>
      <c r="J56" s="69">
        <v>64</v>
      </c>
      <c r="K56" s="111" t="s">
        <v>149</v>
      </c>
      <c r="L56" s="114"/>
    </row>
    <row r="57" ht="15" customHeight="1" spans="1:12">
      <c r="A57" s="157"/>
      <c r="B57" s="66"/>
      <c r="C57" s="69"/>
      <c r="D57" s="69"/>
      <c r="E57" s="111"/>
      <c r="F57" s="64"/>
      <c r="G57" s="93" t="s">
        <v>645</v>
      </c>
      <c r="H57" s="64"/>
      <c r="I57" s="69">
        <v>571429</v>
      </c>
      <c r="J57" s="69">
        <f>J56*I57/I56</f>
        <v>11.4488874641395</v>
      </c>
      <c r="K57" s="111" t="s">
        <v>149</v>
      </c>
      <c r="L57" s="114"/>
    </row>
    <row r="58" ht="15" customHeight="1" spans="1:12">
      <c r="A58" s="157"/>
      <c r="B58" s="66"/>
      <c r="C58" s="92"/>
      <c r="D58" s="69"/>
      <c r="E58" s="64"/>
      <c r="F58" s="64"/>
      <c r="G58" s="93" t="s">
        <v>992</v>
      </c>
      <c r="H58" s="64"/>
      <c r="I58" s="69">
        <v>2622895</v>
      </c>
      <c r="J58" s="69">
        <f>J56*I58/I56</f>
        <v>52.5511125358605</v>
      </c>
      <c r="K58" s="111" t="s">
        <v>149</v>
      </c>
      <c r="L58" s="114"/>
    </row>
    <row r="59" ht="15" customHeight="1" spans="1:12">
      <c r="A59" s="157"/>
      <c r="B59" s="81"/>
      <c r="C59" s="94"/>
      <c r="D59" s="89"/>
      <c r="E59" s="94"/>
      <c r="F59" s="94"/>
      <c r="G59" s="94"/>
      <c r="H59" s="94"/>
      <c r="I59" s="89"/>
      <c r="J59" s="89"/>
      <c r="K59" s="153"/>
      <c r="L59" s="115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spans="1:1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ht="16.8" spans="1:8">
      <c r="A62" s="157"/>
      <c r="G62"/>
      <c r="H62"/>
    </row>
    <row r="63" ht="16.8" spans="2:8">
      <c r="B63" s="156" t="s">
        <v>77</v>
      </c>
      <c r="G63"/>
      <c r="H63"/>
    </row>
  </sheetData>
  <mergeCells count="2">
    <mergeCell ref="B2:L2"/>
    <mergeCell ref="I36:L36"/>
  </mergeCells>
  <pageMargins left="0.7" right="0.7" top="0.787401575" bottom="0.787401575" header="0.3" footer="0.3"/>
  <pageSetup paperSize="9" orientation="portrait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399975585192419"/>
  </sheetPr>
  <dimension ref="K23:M54"/>
  <sheetViews>
    <sheetView zoomScale="85" zoomScaleNormal="85" workbookViewId="0">
      <selection activeCell="A1" sqref="A1"/>
    </sheetView>
  </sheetViews>
  <sheetFormatPr defaultColWidth="11.5" defaultRowHeight="16.8"/>
  <cols>
    <col min="12" max="12" width="6.83653846153846" customWidth="1"/>
    <col min="13" max="13" width="4.5" customWidth="1"/>
    <col min="14" max="14" width="4.33653846153846" customWidth="1"/>
    <col min="15" max="15" width="4.16346153846154" customWidth="1"/>
    <col min="16" max="16" width="3.66346153846154" customWidth="1"/>
    <col min="17" max="17" width="4" customWidth="1"/>
    <col min="18" max="18" width="4.33653846153846" customWidth="1"/>
    <col min="19" max="19" width="3.83653846153846" customWidth="1"/>
    <col min="20" max="20" width="4.33653846153846" customWidth="1"/>
    <col min="21" max="21" width="3.83653846153846" customWidth="1"/>
    <col min="22" max="22" width="3.33653846153846" customWidth="1"/>
    <col min="23" max="23" width="4.16346153846154" customWidth="1"/>
  </cols>
  <sheetData>
    <row r="23" spans="12:13">
      <c r="L23" t="s">
        <v>259</v>
      </c>
      <c r="M23" t="s">
        <v>546</v>
      </c>
    </row>
    <row r="24" spans="11:13">
      <c r="K24" t="s">
        <v>177</v>
      </c>
      <c r="L24">
        <v>0.19</v>
      </c>
      <c r="M24" s="203">
        <v>0.15</v>
      </c>
    </row>
    <row r="25" spans="11:13">
      <c r="K25" t="s">
        <v>166</v>
      </c>
      <c r="L25">
        <v>0.3</v>
      </c>
      <c r="M25" s="203"/>
    </row>
    <row r="26" spans="11:13">
      <c r="K26" t="s">
        <v>167</v>
      </c>
      <c r="L26">
        <v>0.26</v>
      </c>
      <c r="M26" s="203"/>
    </row>
    <row r="27" spans="11:12">
      <c r="K27" t="s">
        <v>168</v>
      </c>
      <c r="L27">
        <v>0.23</v>
      </c>
    </row>
    <row r="28" spans="11:13">
      <c r="K28" t="s">
        <v>169</v>
      </c>
      <c r="L28">
        <v>0.25</v>
      </c>
      <c r="M28" s="203">
        <v>0.22</v>
      </c>
    </row>
    <row r="29" spans="11:13">
      <c r="K29" t="s">
        <v>170</v>
      </c>
      <c r="L29">
        <v>0.33</v>
      </c>
      <c r="M29" s="203">
        <v>0.28</v>
      </c>
    </row>
    <row r="30" spans="11:12">
      <c r="K30" t="s">
        <v>171</v>
      </c>
      <c r="L30">
        <v>0.26</v>
      </c>
    </row>
    <row r="31" spans="11:13">
      <c r="K31" t="s">
        <v>172</v>
      </c>
      <c r="L31">
        <v>0.26</v>
      </c>
      <c r="M31" s="203">
        <v>0.17</v>
      </c>
    </row>
    <row r="32" spans="11:13">
      <c r="K32" t="s">
        <v>173</v>
      </c>
      <c r="L32">
        <v>0.22</v>
      </c>
      <c r="M32" s="203">
        <v>0.18</v>
      </c>
    </row>
    <row r="33" spans="11:13">
      <c r="K33" t="s">
        <v>174</v>
      </c>
      <c r="L33">
        <v>0.21</v>
      </c>
      <c r="M33" s="203">
        <v>0.18</v>
      </c>
    </row>
    <row r="34" spans="11:13">
      <c r="K34" t="s">
        <v>175</v>
      </c>
      <c r="L34" s="203">
        <v>0.2</v>
      </c>
      <c r="M34" s="203">
        <v>0.21</v>
      </c>
    </row>
    <row r="35" spans="11:13">
      <c r="K35" t="s">
        <v>176</v>
      </c>
      <c r="L35">
        <v>0.26</v>
      </c>
      <c r="M35" s="203">
        <v>0.24</v>
      </c>
    </row>
    <row r="36" spans="13:13">
      <c r="M36" s="203"/>
    </row>
    <row r="42" spans="12:12">
      <c r="L42" s="204" t="s">
        <v>183</v>
      </c>
    </row>
    <row r="43" spans="11:12">
      <c r="K43" t="s">
        <v>177</v>
      </c>
      <c r="L43">
        <v>56</v>
      </c>
    </row>
    <row r="44" spans="11:12">
      <c r="K44" t="s">
        <v>993</v>
      </c>
      <c r="L44">
        <v>66</v>
      </c>
    </row>
    <row r="45" spans="11:12">
      <c r="K45" t="s">
        <v>994</v>
      </c>
      <c r="L45">
        <v>65</v>
      </c>
    </row>
    <row r="46" spans="11:12">
      <c r="K46" t="s">
        <v>168</v>
      </c>
      <c r="L46">
        <v>62</v>
      </c>
    </row>
    <row r="47" spans="11:12">
      <c r="K47" t="s">
        <v>169</v>
      </c>
      <c r="L47">
        <v>58</v>
      </c>
    </row>
    <row r="48" spans="11:12">
      <c r="K48" t="s">
        <v>170</v>
      </c>
      <c r="L48">
        <v>59</v>
      </c>
    </row>
    <row r="49" spans="11:12">
      <c r="K49" t="s">
        <v>171</v>
      </c>
      <c r="L49">
        <v>62</v>
      </c>
    </row>
    <row r="50" spans="11:12">
      <c r="K50" t="s">
        <v>995</v>
      </c>
      <c r="L50">
        <v>56</v>
      </c>
    </row>
    <row r="51" spans="11:12">
      <c r="K51" t="s">
        <v>173</v>
      </c>
      <c r="L51">
        <v>57</v>
      </c>
    </row>
    <row r="52" spans="11:12">
      <c r="K52" t="s">
        <v>996</v>
      </c>
      <c r="L52">
        <v>52</v>
      </c>
    </row>
    <row r="53" spans="11:12">
      <c r="K53" t="s">
        <v>175</v>
      </c>
      <c r="L53">
        <v>54</v>
      </c>
    </row>
    <row r="54" spans="11:12">
      <c r="K54" t="s">
        <v>176</v>
      </c>
      <c r="L54">
        <v>51</v>
      </c>
    </row>
  </sheetData>
  <pageMargins left="0.7" right="0.7" top="0.787401575" bottom="0.787401575" header="0.3" footer="0.3"/>
  <pageSetup paperSize="9" orientation="portrait"/>
  <headerFooter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399975585192419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983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930</v>
      </c>
      <c r="G3" s="22"/>
      <c r="H3" s="23" t="s">
        <v>187</v>
      </c>
      <c r="I3" s="5" t="s">
        <v>188</v>
      </c>
      <c r="J3" s="35">
        <v>5042200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v>703</v>
      </c>
      <c r="G4" s="184"/>
      <c r="H4" s="25" t="s">
        <v>187</v>
      </c>
      <c r="I4" s="7" t="s">
        <v>191</v>
      </c>
      <c r="J4" s="37">
        <v>1980000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87.566528754973</v>
      </c>
      <c r="H6" s="27" t="s">
        <v>195</v>
      </c>
      <c r="I6" s="1"/>
      <c r="J6" s="40">
        <v>1123914.33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11.2647897038595</v>
      </c>
      <c r="H7" s="27" t="s">
        <v>195</v>
      </c>
      <c r="I7" s="1"/>
      <c r="J7" s="40">
        <v>144583.31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1.16868154116746</v>
      </c>
      <c r="H8" s="27" t="s">
        <v>195</v>
      </c>
      <c r="I8" s="1"/>
      <c r="J8" s="40">
        <v>15000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1283497.64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53.5972880465763</v>
      </c>
      <c r="H11" s="27" t="s">
        <v>195</v>
      </c>
      <c r="I11" s="1"/>
      <c r="J11" s="40">
        <v>373589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85">
        <v>40</v>
      </c>
      <c r="F13" s="15" t="s">
        <v>204</v>
      </c>
      <c r="G13" s="31"/>
      <c r="H13" s="15"/>
      <c r="I13" s="15"/>
      <c r="J13" s="45">
        <v>255576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35</v>
      </c>
      <c r="F14" s="15" t="s">
        <v>204</v>
      </c>
      <c r="G14" s="31"/>
      <c r="H14" s="15"/>
      <c r="I14" s="15"/>
      <c r="J14" s="45">
        <v>1862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42.7921258645588</v>
      </c>
      <c r="F15" s="15" t="s">
        <v>204</v>
      </c>
      <c r="G15" s="31"/>
      <c r="H15" s="15"/>
      <c r="I15" s="15"/>
      <c r="J15" s="45">
        <v>112603.2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4.9710939851384</v>
      </c>
      <c r="H16" s="27" t="s">
        <v>195</v>
      </c>
      <c r="I16" s="1"/>
      <c r="J16" s="40">
        <v>34650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2.8693183175402</v>
      </c>
      <c r="H17" s="27" t="s">
        <v>195</v>
      </c>
      <c r="I17" s="1"/>
      <c r="J17" s="40">
        <v>20000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20.2239124196822</v>
      </c>
      <c r="H18" s="27" t="s">
        <v>195</v>
      </c>
      <c r="I18" s="1"/>
      <c r="J18" s="40">
        <v>140966.67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18.3383872310629</v>
      </c>
      <c r="H19" s="27" t="s">
        <v>195</v>
      </c>
      <c r="I19" s="1"/>
      <c r="J19" s="40">
        <v>127824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4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89433</v>
      </c>
      <c r="K22" s="44" t="s">
        <v>196</v>
      </c>
      <c r="L22" s="17"/>
      <c r="N22" t="s">
        <v>77</v>
      </c>
    </row>
    <row r="23" ht="21.75" customHeight="1" spans="1:14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  <c r="N23" t="s">
        <v>77</v>
      </c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6000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5000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2000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5000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540</v>
      </c>
      <c r="E29" s="15"/>
      <c r="F29" s="15"/>
      <c r="G29" s="31"/>
      <c r="H29" s="15"/>
      <c r="I29" s="15"/>
      <c r="J29" s="45">
        <v>16391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4000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697029.67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25.4551116576098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13.8239195192575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11.6311921383523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586467.97</v>
      </c>
      <c r="K37" s="43" t="s">
        <v>196</v>
      </c>
      <c r="L37" s="12"/>
    </row>
    <row r="38" ht="21.75" customHeight="1" spans="1:12">
      <c r="A38" s="1"/>
      <c r="B38" s="19" t="s">
        <v>541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599993896298105"/>
  </sheetPr>
  <dimension ref="A1:T63"/>
  <sheetViews>
    <sheetView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9.25" customHeight="1" spans="1:13">
      <c r="A2" s="157"/>
      <c r="B2" s="49" t="s">
        <v>997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739</v>
      </c>
      <c r="D4" s="56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186">
        <v>42370</v>
      </c>
      <c r="D5" s="186"/>
      <c r="E5" s="95"/>
      <c r="F5" s="96"/>
      <c r="G5" s="96"/>
      <c r="H5" s="56"/>
      <c r="I5" s="56"/>
      <c r="J5" s="64"/>
      <c r="K5" s="64"/>
      <c r="L5" s="114"/>
    </row>
    <row r="6" ht="15" customHeight="1" spans="1:14">
      <c r="A6" s="157"/>
      <c r="B6" s="57" t="s">
        <v>6</v>
      </c>
      <c r="C6" s="893" t="s">
        <v>741</v>
      </c>
      <c r="D6" s="192"/>
      <c r="E6" s="56"/>
      <c r="F6" s="56"/>
      <c r="G6" s="56"/>
      <c r="H6" s="56"/>
      <c r="I6" s="56"/>
      <c r="J6" s="64"/>
      <c r="K6" s="64"/>
      <c r="L6" s="114"/>
      <c r="N6" s="156" t="s">
        <v>77</v>
      </c>
    </row>
    <row r="7" ht="15" customHeight="1" spans="1:12">
      <c r="A7" s="157"/>
      <c r="B7" s="54" t="s">
        <v>230</v>
      </c>
      <c r="C7" s="893" t="s">
        <v>998</v>
      </c>
      <c r="D7" s="192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893" t="s">
        <v>11</v>
      </c>
      <c r="D8" s="192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893" t="s">
        <v>13</v>
      </c>
      <c r="D9" s="192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893" t="s">
        <v>999</v>
      </c>
      <c r="D10" s="192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>
        <v>1</v>
      </c>
      <c r="F14" s="68"/>
      <c r="G14" s="68"/>
      <c r="H14" s="64"/>
      <c r="I14" s="57" t="s">
        <v>27</v>
      </c>
      <c r="J14" s="64"/>
      <c r="K14" s="161">
        <v>5554.32718894009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925</v>
      </c>
      <c r="E15" s="69">
        <v>1525</v>
      </c>
      <c r="F15" s="69"/>
      <c r="G15" s="69"/>
      <c r="H15" s="98">
        <f>SUM(D15:E15)</f>
        <v>2450</v>
      </c>
      <c r="I15" s="57" t="s">
        <v>27</v>
      </c>
      <c r="J15" s="64"/>
      <c r="K15" s="162">
        <v>15.2173347642194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850</v>
      </c>
      <c r="E16" s="69">
        <v>1400</v>
      </c>
      <c r="F16" s="69"/>
      <c r="G16" s="69"/>
      <c r="H16" s="98">
        <f>SUM(D16:E16)</f>
        <v>2250</v>
      </c>
      <c r="I16" s="56" t="s">
        <v>155</v>
      </c>
      <c r="J16" s="56"/>
      <c r="K16" s="163">
        <v>40.9198333345778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70"/>
      <c r="G17" s="70"/>
      <c r="H17" s="98"/>
      <c r="I17" s="56" t="s">
        <v>291</v>
      </c>
      <c r="J17" s="56"/>
      <c r="K17" s="164">
        <v>40.9770602735112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450</v>
      </c>
      <c r="F18" s="71"/>
      <c r="G18" s="71"/>
      <c r="H18" s="98">
        <f>SUM(D18:E18)</f>
        <v>450</v>
      </c>
      <c r="I18" s="56" t="s">
        <v>671</v>
      </c>
      <c r="J18" s="56"/>
      <c r="K18" s="164">
        <v>1.15135457139325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70"/>
      <c r="F19" s="70"/>
      <c r="G19" s="70"/>
      <c r="H19" s="100"/>
      <c r="I19" s="56" t="s">
        <v>1000</v>
      </c>
      <c r="J19" s="56"/>
      <c r="K19" s="164">
        <v>17.2323816113812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74"/>
      <c r="F20" s="74"/>
      <c r="G20" s="74"/>
      <c r="H20" s="101"/>
      <c r="I20" s="56"/>
      <c r="J20" s="56"/>
      <c r="K20" s="164"/>
      <c r="L20" s="118"/>
      <c r="M20" s="178"/>
    </row>
    <row r="21" ht="15" customHeight="1" spans="1:14">
      <c r="A21" s="157"/>
      <c r="B21" s="66" t="s">
        <v>71</v>
      </c>
      <c r="C21" s="64" t="s">
        <v>59</v>
      </c>
      <c r="D21" s="75">
        <v>10.9826363636364</v>
      </c>
      <c r="E21" s="75">
        <v>8.88383333333333</v>
      </c>
      <c r="F21" s="75"/>
      <c r="G21" s="77"/>
      <c r="H21" s="102"/>
      <c r="I21" s="56"/>
      <c r="J21" s="56"/>
      <c r="K21" s="164"/>
      <c r="L21" s="118"/>
      <c r="M21" s="201">
        <v>10.8818333333333</v>
      </c>
      <c r="N21" s="202">
        <v>71.3639166666667</v>
      </c>
    </row>
    <row r="22" ht="15" customHeight="1" spans="1:14">
      <c r="A22" s="157"/>
      <c r="B22" s="66" t="s">
        <v>73</v>
      </c>
      <c r="C22" s="64" t="s">
        <v>59</v>
      </c>
      <c r="D22" s="75">
        <v>71.3639166666667</v>
      </c>
      <c r="E22" s="75">
        <v>68.9026666666667</v>
      </c>
      <c r="F22" s="75"/>
      <c r="G22" s="77"/>
      <c r="H22" s="78"/>
      <c r="I22" s="57"/>
      <c r="J22" s="56"/>
      <c r="K22" s="164"/>
      <c r="L22" s="118"/>
      <c r="M22" s="201">
        <v>8.88383333333333</v>
      </c>
      <c r="N22" s="202">
        <v>68.9026666666667</v>
      </c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77"/>
      <c r="G23" s="78"/>
      <c r="H23" s="103" t="s">
        <v>429</v>
      </c>
      <c r="I23" s="125" t="s">
        <v>76</v>
      </c>
      <c r="J23" s="56"/>
      <c r="K23" s="165"/>
      <c r="L23" s="118"/>
      <c r="M23" s="178"/>
      <c r="O23" s="156" t="s">
        <v>77</v>
      </c>
    </row>
    <row r="24" ht="15" customHeight="1" spans="1:14">
      <c r="A24" s="157"/>
      <c r="B24" s="66" t="s">
        <v>78</v>
      </c>
      <c r="C24" s="56" t="s">
        <v>79</v>
      </c>
      <c r="D24" s="77"/>
      <c r="E24" s="77"/>
      <c r="F24" s="77"/>
      <c r="G24" s="78"/>
      <c r="H24" s="104" t="s">
        <v>1001</v>
      </c>
      <c r="I24" s="127" t="s">
        <v>80</v>
      </c>
      <c r="J24" s="56"/>
      <c r="K24" s="163">
        <v>20.3919418613466</v>
      </c>
      <c r="L24" s="118" t="s">
        <v>59</v>
      </c>
      <c r="M24" s="178"/>
      <c r="N24" s="156">
        <f>(K24%*K25%*K15*1000)/H16</f>
        <v>1.11693030586982</v>
      </c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77"/>
      <c r="G25" s="77"/>
      <c r="H25" s="104" t="s">
        <v>934</v>
      </c>
      <c r="I25" s="128" t="s">
        <v>83</v>
      </c>
      <c r="J25" s="56"/>
      <c r="K25" s="163">
        <v>80.9862731666776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78"/>
      <c r="G26" s="78"/>
      <c r="H26" s="105" t="s">
        <v>415</v>
      </c>
      <c r="I26" s="57" t="s">
        <v>86</v>
      </c>
      <c r="J26" s="56"/>
      <c r="K26" s="163">
        <v>55.9528610207547</v>
      </c>
      <c r="L26" s="118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78"/>
      <c r="G27" s="78"/>
      <c r="H27" s="103" t="s">
        <v>953</v>
      </c>
      <c r="I27" s="129"/>
      <c r="J27" s="130"/>
      <c r="K27" s="130"/>
      <c r="L27" s="167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78"/>
      <c r="G28" s="78"/>
      <c r="H28" s="103" t="s">
        <v>911</v>
      </c>
      <c r="I28" s="63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7.99591666666667</v>
      </c>
      <c r="E29" s="75">
        <v>7.93525</v>
      </c>
      <c r="F29" s="75"/>
      <c r="G29" s="80"/>
      <c r="H29" s="78"/>
      <c r="I29" s="66" t="s">
        <v>26</v>
      </c>
      <c r="J29" s="64"/>
      <c r="K29" s="64">
        <v>1</v>
      </c>
      <c r="L29" s="114"/>
    </row>
    <row r="30" ht="15" customHeight="1" spans="1:12">
      <c r="A30" s="157"/>
      <c r="B30" s="66" t="s">
        <v>94</v>
      </c>
      <c r="C30" s="56" t="s">
        <v>95</v>
      </c>
      <c r="D30" s="77">
        <v>44</v>
      </c>
      <c r="E30" s="77">
        <v>38</v>
      </c>
      <c r="F30" s="77"/>
      <c r="G30" s="77"/>
      <c r="H30" s="78"/>
      <c r="I30" s="66" t="s">
        <v>96</v>
      </c>
      <c r="J30" s="92"/>
      <c r="K30" s="92"/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2.68333333333333</v>
      </c>
      <c r="E31" s="75">
        <v>2.53</v>
      </c>
      <c r="F31" s="75"/>
      <c r="G31" s="80"/>
      <c r="H31" s="78"/>
      <c r="I31" s="66" t="s">
        <v>99</v>
      </c>
      <c r="J31" s="92"/>
      <c r="K31" s="92">
        <v>1800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5.05</v>
      </c>
      <c r="E32" s="80"/>
      <c r="F32" s="80"/>
      <c r="G32" s="80"/>
      <c r="H32" s="78"/>
      <c r="I32" s="66" t="s">
        <v>66</v>
      </c>
      <c r="J32" s="92"/>
      <c r="K32" s="92">
        <v>0</v>
      </c>
      <c r="L32" s="114" t="s">
        <v>55</v>
      </c>
    </row>
    <row r="33" ht="15" customHeight="1" spans="1:15">
      <c r="A33" s="157"/>
      <c r="B33" s="66" t="s">
        <v>101</v>
      </c>
      <c r="C33" s="64" t="s">
        <v>102</v>
      </c>
      <c r="D33" s="77">
        <v>138</v>
      </c>
      <c r="E33" s="77">
        <v>38</v>
      </c>
      <c r="F33" s="77"/>
      <c r="G33" s="80"/>
      <c r="H33" s="78"/>
      <c r="I33" s="57" t="s">
        <v>103</v>
      </c>
      <c r="J33" s="64"/>
      <c r="K33" s="162" t="s">
        <v>1002</v>
      </c>
      <c r="L33" s="114" t="s">
        <v>59</v>
      </c>
      <c r="N33" s="156">
        <f>K46*K15</f>
        <v>947.608705996031</v>
      </c>
      <c r="O33" s="156">
        <f>L46*K15</f>
        <v>524.238194128249</v>
      </c>
    </row>
    <row r="34" ht="15" customHeight="1" spans="1:15">
      <c r="A34" s="157"/>
      <c r="B34" s="66" t="s">
        <v>104</v>
      </c>
      <c r="C34" s="64" t="s">
        <v>62</v>
      </c>
      <c r="D34" s="80">
        <v>0.21</v>
      </c>
      <c r="E34" s="80">
        <v>0.19</v>
      </c>
      <c r="F34" s="80"/>
      <c r="G34" s="80"/>
      <c r="H34" s="78"/>
      <c r="I34" s="66" t="s">
        <v>105</v>
      </c>
      <c r="J34" s="64"/>
      <c r="K34" s="168">
        <v>8.99</v>
      </c>
      <c r="L34" s="114" t="s">
        <v>59</v>
      </c>
      <c r="N34" s="156">
        <f>N33/H16</f>
        <v>0.421159424887125</v>
      </c>
      <c r="O34" s="156">
        <f>O33/H16</f>
        <v>0.232994752945888</v>
      </c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68">
        <v>63.74</v>
      </c>
      <c r="L35" s="114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40</v>
      </c>
      <c r="E39" s="64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55.3222222222222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78" t="s">
        <v>116</v>
      </c>
      <c r="L41" s="103">
        <v>45.6222222222222</v>
      </c>
    </row>
    <row r="42" ht="15" customHeight="1" spans="1:16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78" t="s">
        <v>120</v>
      </c>
      <c r="L42" s="173">
        <v>0.322222222222222</v>
      </c>
      <c r="P42" s="156" t="s">
        <v>77</v>
      </c>
    </row>
    <row r="43" ht="15" customHeight="1" spans="1:12">
      <c r="A43" s="157"/>
      <c r="B43" s="66" t="s">
        <v>121</v>
      </c>
      <c r="C43" s="64" t="s">
        <v>122</v>
      </c>
      <c r="D43" s="77">
        <v>75</v>
      </c>
      <c r="E43" s="77"/>
      <c r="F43" s="77"/>
      <c r="G43" s="78"/>
      <c r="H43" s="102"/>
      <c r="I43" s="66"/>
      <c r="J43" s="64" t="s">
        <v>123</v>
      </c>
      <c r="K43" s="172" t="s">
        <v>124</v>
      </c>
      <c r="L43" s="174">
        <v>100.777777777778</v>
      </c>
    </row>
    <row r="44" ht="15" customHeight="1" spans="1:17">
      <c r="A44" s="157"/>
      <c r="B44" s="66" t="s">
        <v>125</v>
      </c>
      <c r="C44" s="64" t="s">
        <v>122</v>
      </c>
      <c r="D44" s="75">
        <v>90</v>
      </c>
      <c r="E44" s="77"/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8">
        <v>37.1</v>
      </c>
      <c r="E45" s="78"/>
      <c r="F45" s="78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49</v>
      </c>
      <c r="E46" s="78"/>
      <c r="F46" s="78"/>
      <c r="G46" s="78"/>
      <c r="H46" s="102"/>
      <c r="I46" s="66"/>
      <c r="J46" s="64" t="s">
        <v>131</v>
      </c>
      <c r="K46" s="77">
        <f>947.608705996031/K15</f>
        <v>62.2716606211586</v>
      </c>
      <c r="L46" s="174">
        <f>K46*L40/100</f>
        <v>34.4500664703054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133</v>
      </c>
      <c r="E47" s="70"/>
      <c r="F47" s="78"/>
      <c r="G47" s="78"/>
      <c r="H47" s="102"/>
      <c r="I47" s="66"/>
      <c r="J47" s="64" t="s">
        <v>134</v>
      </c>
      <c r="K47" s="77">
        <f>K46/K24*100/K25*100</f>
        <v>377.06866997323</v>
      </c>
      <c r="L47" s="174">
        <f>K47*L40/100</f>
        <v>208.602767532968</v>
      </c>
    </row>
    <row r="48" ht="15" customHeight="1" spans="1:13">
      <c r="A48" s="157"/>
      <c r="B48" s="66" t="s">
        <v>135</v>
      </c>
      <c r="C48" s="64" t="s">
        <v>240</v>
      </c>
      <c r="D48" s="69">
        <v>8715</v>
      </c>
      <c r="E48" s="69"/>
      <c r="F48" s="78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v>8649.84</v>
      </c>
      <c r="E49" s="69"/>
      <c r="F49" s="78"/>
      <c r="G49" s="69"/>
      <c r="H49" s="98"/>
      <c r="I49" s="66"/>
      <c r="J49" s="64" t="s">
        <v>139</v>
      </c>
      <c r="K49" s="69">
        <v>1782</v>
      </c>
      <c r="L49" s="98"/>
    </row>
    <row r="50" ht="15" customHeight="1" spans="1:20">
      <c r="A50" s="157"/>
      <c r="B50" s="57" t="s">
        <v>140</v>
      </c>
      <c r="C50" s="64" t="s">
        <v>59</v>
      </c>
      <c r="D50" s="77">
        <v>98.7424657534247</v>
      </c>
      <c r="E50" s="200"/>
      <c r="F50" s="78"/>
      <c r="G50" s="78"/>
      <c r="H50" s="102"/>
      <c r="I50" s="66"/>
      <c r="J50" s="64" t="s">
        <v>141</v>
      </c>
      <c r="K50" s="69">
        <f>K49/K15</f>
        <v>117.103292239455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64510</v>
      </c>
      <c r="D55" s="189">
        <v>9.9</v>
      </c>
      <c r="E55" s="111" t="s">
        <v>147</v>
      </c>
      <c r="F55" s="64"/>
      <c r="G55" s="64" t="s">
        <v>148</v>
      </c>
      <c r="H55" s="64"/>
      <c r="I55" s="69">
        <v>162500</v>
      </c>
      <c r="J55" s="69">
        <v>19</v>
      </c>
      <c r="K55" s="111" t="s">
        <v>149</v>
      </c>
      <c r="L55" s="114"/>
    </row>
    <row r="56" ht="15" customHeight="1" spans="1:12">
      <c r="A56" s="157"/>
      <c r="B56" s="66" t="s">
        <v>1003</v>
      </c>
      <c r="C56" s="93">
        <v>25731</v>
      </c>
      <c r="D56" s="189">
        <f>D55/C55*C56</f>
        <v>3.94879708572314</v>
      </c>
      <c r="E56" s="111" t="s">
        <v>147</v>
      </c>
      <c r="F56" s="64"/>
      <c r="G56" s="64" t="s">
        <v>1004</v>
      </c>
      <c r="H56" s="64"/>
      <c r="I56" s="69">
        <v>185250.746268657</v>
      </c>
      <c r="J56" s="69">
        <v>21.6</v>
      </c>
      <c r="K56" s="111" t="s">
        <v>149</v>
      </c>
      <c r="L56" s="114"/>
    </row>
    <row r="57" ht="15" customHeight="1" spans="1:12">
      <c r="A57" s="157"/>
      <c r="B57" s="66" t="s">
        <v>431</v>
      </c>
      <c r="C57" s="93">
        <f>C55-C56</f>
        <v>38779</v>
      </c>
      <c r="D57" s="189">
        <f>D55/C55*C57</f>
        <v>5.95120291427686</v>
      </c>
      <c r="E57" s="111" t="s">
        <v>147</v>
      </c>
      <c r="F57" s="64"/>
      <c r="G57" s="64" t="s">
        <v>1005</v>
      </c>
      <c r="H57" s="64"/>
      <c r="I57" s="69"/>
      <c r="J57" s="69"/>
      <c r="K57" s="111"/>
      <c r="L57" s="114"/>
    </row>
    <row r="58" ht="15" customHeight="1" spans="1:12">
      <c r="A58" s="157"/>
      <c r="B58" s="66"/>
      <c r="C58" s="92"/>
      <c r="D58" s="69"/>
      <c r="E58" s="64"/>
      <c r="F58" s="64"/>
      <c r="G58" s="64" t="s">
        <v>1006</v>
      </c>
      <c r="H58" s="64"/>
      <c r="I58" s="69"/>
      <c r="J58" s="69"/>
      <c r="K58" s="111"/>
      <c r="L58" s="114"/>
    </row>
    <row r="59" ht="15" customHeight="1" spans="1:12">
      <c r="A59" s="157"/>
      <c r="B59" s="81"/>
      <c r="C59" s="94"/>
      <c r="D59" s="89"/>
      <c r="E59" s="94"/>
      <c r="F59" s="94"/>
      <c r="G59" s="94"/>
      <c r="H59" s="94"/>
      <c r="I59" s="89"/>
      <c r="J59" s="89"/>
      <c r="K59" s="153"/>
      <c r="L59" s="115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spans="1:12">
      <c r="A61" s="157"/>
      <c r="B61" s="157" t="s">
        <v>77</v>
      </c>
      <c r="C61" s="157"/>
      <c r="D61" s="157"/>
      <c r="E61" s="157"/>
      <c r="F61" s="157"/>
      <c r="G61" s="157"/>
      <c r="H61" s="157"/>
      <c r="I61" s="157"/>
      <c r="J61" s="157"/>
      <c r="K61" s="157"/>
      <c r="L61" s="157"/>
    </row>
    <row r="62" ht="16.8" spans="1:8">
      <c r="A62" s="157"/>
      <c r="G62"/>
      <c r="H62"/>
    </row>
    <row r="63" ht="16.8" spans="7:8">
      <c r="G63"/>
      <c r="H63"/>
    </row>
  </sheetData>
  <mergeCells count="2">
    <mergeCell ref="B2:L2"/>
    <mergeCell ref="I36:L36"/>
  </mergeCells>
  <pageMargins left="0.7" right="0.7" top="0.787401575" bottom="0.7874015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599993896298105"/>
  </sheetPr>
  <dimension ref="K3:P51"/>
  <sheetViews>
    <sheetView zoomScale="85" zoomScaleNormal="85" workbookViewId="0">
      <selection activeCell="N54" sqref="N54"/>
    </sheetView>
  </sheetViews>
  <sheetFormatPr defaultColWidth="11.5" defaultRowHeight="16.8"/>
  <sheetData>
    <row r="3" spans="12:16">
      <c r="L3" t="s">
        <v>646</v>
      </c>
      <c r="M3" t="s">
        <v>155</v>
      </c>
      <c r="N3" t="s">
        <v>291</v>
      </c>
      <c r="O3" t="s">
        <v>1000</v>
      </c>
      <c r="P3" t="s">
        <v>671</v>
      </c>
    </row>
    <row r="4" spans="11:16">
      <c r="K4" s="197">
        <v>42948</v>
      </c>
      <c r="L4" s="155">
        <v>15.5870967741935</v>
      </c>
      <c r="M4" s="155">
        <v>38.4933774834437</v>
      </c>
      <c r="N4" s="155">
        <v>44.908940397351</v>
      </c>
      <c r="O4" s="155">
        <v>15.9354304635762</v>
      </c>
      <c r="P4" s="155">
        <v>0.662251655629139</v>
      </c>
    </row>
    <row r="5" spans="11:16">
      <c r="K5" s="197">
        <v>42979</v>
      </c>
      <c r="L5" s="155">
        <v>15.6</v>
      </c>
      <c r="M5" s="155">
        <v>38.2478632478632</v>
      </c>
      <c r="N5" s="155">
        <v>44.8717948717949</v>
      </c>
      <c r="O5" s="155">
        <v>16.1324786324786</v>
      </c>
      <c r="P5" s="155">
        <v>0.747863247863248</v>
      </c>
    </row>
    <row r="6" spans="11:16">
      <c r="K6" s="197">
        <v>43009</v>
      </c>
      <c r="L6" s="155">
        <v>14.258064516129</v>
      </c>
      <c r="M6" s="155">
        <v>30.0904977375566</v>
      </c>
      <c r="N6" s="155">
        <v>47.737556561086</v>
      </c>
      <c r="O6" s="155">
        <v>21.7194570135747</v>
      </c>
      <c r="P6" s="155">
        <v>0.452488687782805</v>
      </c>
    </row>
    <row r="7" spans="11:16">
      <c r="K7" s="197">
        <v>43040</v>
      </c>
      <c r="L7" s="155">
        <v>15.2321428571429</v>
      </c>
      <c r="M7" s="155">
        <v>38.5853849159828</v>
      </c>
      <c r="N7" s="155">
        <v>39.390386869871</v>
      </c>
      <c r="O7" s="155">
        <v>21.1488862837046</v>
      </c>
      <c r="P7" s="155">
        <v>0.875341930441579</v>
      </c>
    </row>
    <row r="8" spans="11:16">
      <c r="K8" s="197">
        <v>43070</v>
      </c>
      <c r="L8" s="155">
        <v>16.141935483871</v>
      </c>
      <c r="M8" s="155">
        <v>43.365307753797</v>
      </c>
      <c r="N8" s="155">
        <v>37.1702637889688</v>
      </c>
      <c r="O8" s="155">
        <v>18.6850519584333</v>
      </c>
      <c r="P8" s="155">
        <v>0.779376498800959</v>
      </c>
    </row>
    <row r="9" spans="11:16">
      <c r="K9" s="197">
        <v>43101</v>
      </c>
      <c r="L9" s="155">
        <v>16.1612903225806</v>
      </c>
      <c r="M9" s="155">
        <v>43.313373253493</v>
      </c>
      <c r="N9" s="155">
        <v>37.125748502994</v>
      </c>
      <c r="O9" s="155">
        <v>18.562874251497</v>
      </c>
      <c r="P9" s="155">
        <v>0.998003992015968</v>
      </c>
    </row>
    <row r="10" spans="11:16">
      <c r="K10" s="197">
        <v>43132</v>
      </c>
      <c r="L10" s="155">
        <v>15.8446428571429</v>
      </c>
      <c r="M10" s="155">
        <v>41.4741350163417</v>
      </c>
      <c r="N10" s="155">
        <v>37.8676884931816</v>
      </c>
      <c r="O10" s="155">
        <v>19.8354558773808</v>
      </c>
      <c r="P10" s="155">
        <v>0.822720613095909</v>
      </c>
    </row>
    <row r="11" spans="11:16">
      <c r="K11" s="197">
        <v>43160</v>
      </c>
      <c r="L11" s="155">
        <v>14.5161290322581</v>
      </c>
      <c r="M11" s="155">
        <v>37.5555555555556</v>
      </c>
      <c r="N11" s="155">
        <v>41.3333333333333</v>
      </c>
      <c r="O11" s="155">
        <v>19.5555555555556</v>
      </c>
      <c r="P11" s="155">
        <v>1.55555555555556</v>
      </c>
    </row>
    <row r="12" spans="11:16">
      <c r="K12" s="197">
        <v>43191</v>
      </c>
      <c r="L12" s="155">
        <v>15.1466666666667</v>
      </c>
      <c r="M12" s="155">
        <v>46.6549295774648</v>
      </c>
      <c r="N12" s="155">
        <v>39.612676056338</v>
      </c>
      <c r="O12" s="155">
        <v>12.7640845070423</v>
      </c>
      <c r="P12" s="155">
        <v>0.96830985915493</v>
      </c>
    </row>
    <row r="13" spans="11:16">
      <c r="K13" s="197">
        <v>43221</v>
      </c>
      <c r="L13" s="155">
        <v>14.5322580645161</v>
      </c>
      <c r="M13" s="155">
        <v>44.0621531631521</v>
      </c>
      <c r="N13" s="155">
        <v>41.2874583795782</v>
      </c>
      <c r="O13" s="155">
        <v>12.3196448390677</v>
      </c>
      <c r="P13" s="155">
        <v>2.330743618202</v>
      </c>
    </row>
    <row r="14" spans="11:16">
      <c r="K14" s="197">
        <v>43252</v>
      </c>
      <c r="L14" s="155">
        <v>14.8766666666667</v>
      </c>
      <c r="M14" s="155">
        <v>41.2278736276048</v>
      </c>
      <c r="N14" s="155">
        <v>40.3316155052655</v>
      </c>
      <c r="O14" s="155">
        <v>16.4687429979834</v>
      </c>
      <c r="P14" s="155">
        <v>1.97176786914631</v>
      </c>
    </row>
    <row r="15" spans="11:16">
      <c r="K15" s="197">
        <v>43282</v>
      </c>
      <c r="L15" s="155">
        <v>15.2741935483871</v>
      </c>
      <c r="M15" s="155">
        <v>45.8289334741288</v>
      </c>
      <c r="N15" s="155">
        <v>39.2819429778247</v>
      </c>
      <c r="O15" s="155">
        <v>13.1995776135164</v>
      </c>
      <c r="P15" s="155">
        <v>1.68954593453009</v>
      </c>
    </row>
    <row r="17" spans="13:13">
      <c r="M17">
        <v>100</v>
      </c>
    </row>
    <row r="23" spans="12:13">
      <c r="L23" t="s">
        <v>22</v>
      </c>
      <c r="M23" t="s">
        <v>23</v>
      </c>
    </row>
    <row r="24" spans="11:13">
      <c r="K24" s="197">
        <v>42948</v>
      </c>
      <c r="L24" s="198">
        <v>0.18</v>
      </c>
      <c r="M24" s="198">
        <v>0.169</v>
      </c>
    </row>
    <row r="25" spans="11:13">
      <c r="K25" s="197">
        <v>42979</v>
      </c>
      <c r="L25" s="198">
        <v>0.184</v>
      </c>
      <c r="M25" s="198">
        <v>0.167</v>
      </c>
    </row>
    <row r="26" spans="11:13">
      <c r="K26" s="197">
        <v>43009</v>
      </c>
      <c r="L26" s="198">
        <v>0.184</v>
      </c>
      <c r="M26" s="198">
        <v>0.221</v>
      </c>
    </row>
    <row r="27" spans="11:13">
      <c r="K27" s="197">
        <v>43040</v>
      </c>
      <c r="L27" s="198">
        <v>0.225</v>
      </c>
      <c r="M27" s="198">
        <v>0.18</v>
      </c>
    </row>
    <row r="28" spans="11:13">
      <c r="K28" s="197">
        <v>43070</v>
      </c>
      <c r="L28" s="198">
        <v>0.226</v>
      </c>
      <c r="M28" s="198">
        <v>0.215</v>
      </c>
    </row>
    <row r="29" spans="11:13">
      <c r="K29" s="197">
        <v>43101</v>
      </c>
      <c r="L29" s="198">
        <v>0.257</v>
      </c>
      <c r="M29" s="198">
        <v>0.235</v>
      </c>
    </row>
    <row r="30" spans="11:13">
      <c r="K30" s="197">
        <v>43132</v>
      </c>
      <c r="L30" s="198">
        <v>0.179</v>
      </c>
      <c r="M30" s="198">
        <v>0.153</v>
      </c>
    </row>
    <row r="31" spans="11:13">
      <c r="K31" s="197">
        <v>43160</v>
      </c>
      <c r="L31" s="198">
        <v>0.18</v>
      </c>
      <c r="M31" s="198">
        <v>0.164</v>
      </c>
    </row>
    <row r="32" spans="11:13">
      <c r="K32" s="197">
        <v>43191</v>
      </c>
      <c r="L32" s="198" t="s">
        <v>72</v>
      </c>
      <c r="M32" s="198">
        <v>0.168</v>
      </c>
    </row>
    <row r="33" spans="11:13">
      <c r="K33" s="197">
        <v>43221</v>
      </c>
      <c r="L33" s="198">
        <v>0.199</v>
      </c>
      <c r="M33" s="198">
        <v>0.188</v>
      </c>
    </row>
    <row r="34" spans="11:13">
      <c r="K34" s="197">
        <v>43252</v>
      </c>
      <c r="L34" s="198">
        <v>0.232</v>
      </c>
      <c r="M34" s="198" t="s">
        <v>72</v>
      </c>
    </row>
    <row r="35" spans="11:13">
      <c r="K35" s="197">
        <v>43282</v>
      </c>
      <c r="L35" s="198">
        <v>0.253</v>
      </c>
      <c r="M35" s="198">
        <v>0.215</v>
      </c>
    </row>
    <row r="39" spans="12:12">
      <c r="L39" t="s">
        <v>183</v>
      </c>
    </row>
    <row r="40" spans="11:12">
      <c r="K40" s="197">
        <v>42948</v>
      </c>
      <c r="L40" s="199">
        <v>98.0483870967742</v>
      </c>
    </row>
    <row r="41" spans="11:12">
      <c r="K41" s="197">
        <v>42979</v>
      </c>
      <c r="L41" s="199">
        <v>98.2351851851852</v>
      </c>
    </row>
    <row r="42" spans="11:12">
      <c r="K42" s="197">
        <v>43009</v>
      </c>
      <c r="L42" s="199">
        <v>100.942652329749</v>
      </c>
    </row>
    <row r="43" spans="11:12">
      <c r="K43" s="197">
        <v>43040</v>
      </c>
      <c r="L43" s="199">
        <v>101.118518518519</v>
      </c>
    </row>
    <row r="44" spans="11:12">
      <c r="K44" s="197">
        <v>43070</v>
      </c>
      <c r="L44" s="199">
        <v>101.965949820789</v>
      </c>
    </row>
    <row r="45" spans="11:12">
      <c r="K45" s="197">
        <v>43101</v>
      </c>
      <c r="L45" s="199">
        <v>101.086021505376</v>
      </c>
    </row>
    <row r="46" spans="11:12">
      <c r="K46" s="197">
        <v>43132</v>
      </c>
      <c r="L46" s="199">
        <v>101.906746031746</v>
      </c>
    </row>
    <row r="47" spans="11:12">
      <c r="K47" s="197">
        <v>43160</v>
      </c>
      <c r="L47" s="199">
        <v>102.478494623656</v>
      </c>
    </row>
    <row r="48" spans="11:12">
      <c r="K48" s="197">
        <v>43191</v>
      </c>
      <c r="L48" s="199">
        <v>93.612962962963</v>
      </c>
    </row>
    <row r="49" spans="11:12">
      <c r="K49" s="197">
        <v>43221</v>
      </c>
      <c r="L49" s="199">
        <v>91.8817204301075</v>
      </c>
    </row>
    <row r="50" spans="11:12">
      <c r="K50" s="197">
        <v>43252</v>
      </c>
      <c r="L50" s="199">
        <v>96.2148148148148</v>
      </c>
    </row>
    <row r="51" spans="11:12">
      <c r="K51" s="197">
        <v>43282</v>
      </c>
      <c r="L51" s="199">
        <v>97.5376344086021</v>
      </c>
    </row>
  </sheetData>
  <pageMargins left="0.7" right="0.7" top="0.787401575" bottom="0.787401575" header="0.3" footer="0.3"/>
  <headerFooter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599993896298105"/>
  </sheetPr>
  <dimension ref="A1:N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997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75</v>
      </c>
      <c r="G3" s="22"/>
      <c r="H3" s="23" t="s">
        <v>187</v>
      </c>
      <c r="I3" s="5" t="s">
        <v>188</v>
      </c>
      <c r="J3" s="35">
        <v>627846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v>71</v>
      </c>
      <c r="G4" s="184"/>
      <c r="H4" s="25" t="s">
        <v>187</v>
      </c>
      <c r="I4" s="7" t="s">
        <v>191</v>
      </c>
      <c r="J4" s="37">
        <v>550823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87.2248562925928</v>
      </c>
      <c r="H6" s="27" t="s">
        <v>195</v>
      </c>
      <c r="I6" s="1"/>
      <c r="J6" s="40">
        <v>146978.75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1.8729350090365</v>
      </c>
      <c r="H7" s="27" t="s">
        <v>195</v>
      </c>
      <c r="I7" s="1"/>
      <c r="J7" s="40">
        <v>3156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10.9022086983707</v>
      </c>
      <c r="H8" s="27" t="s">
        <v>195</v>
      </c>
      <c r="I8" s="1"/>
      <c r="J8" s="40">
        <v>18370.83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168505.58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23.0394094972241</v>
      </c>
      <c r="H11" s="27" t="s">
        <v>195</v>
      </c>
      <c r="I11" s="1"/>
      <c r="J11" s="40">
        <v>25500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196">
        <v>0</v>
      </c>
      <c r="F13" s="15" t="s">
        <v>204</v>
      </c>
      <c r="G13" s="31"/>
      <c r="H13" s="15"/>
      <c r="I13" s="15"/>
      <c r="J13" s="45">
        <v>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20</v>
      </c>
      <c r="F14" s="15" t="s">
        <v>204</v>
      </c>
      <c r="G14" s="31"/>
      <c r="H14" s="15"/>
      <c r="I14" s="15"/>
      <c r="J14" s="45">
        <v>19000</v>
      </c>
      <c r="K14" s="44" t="s">
        <v>196</v>
      </c>
      <c r="L14" s="15"/>
    </row>
    <row r="15" ht="21.75" customHeight="1" spans="1:14">
      <c r="A15" s="15"/>
      <c r="B15" s="16"/>
      <c r="C15" s="15"/>
      <c r="D15" s="15" t="s">
        <v>242</v>
      </c>
      <c r="E15" s="185">
        <v>130</v>
      </c>
      <c r="F15" s="15" t="s">
        <v>204</v>
      </c>
      <c r="G15" s="31"/>
      <c r="H15" s="15"/>
      <c r="I15" s="15"/>
      <c r="J15" s="45">
        <v>6500</v>
      </c>
      <c r="K15" s="44" t="s">
        <v>196</v>
      </c>
      <c r="L15" s="15"/>
      <c r="N15" t="s">
        <v>77</v>
      </c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5.7228266879846</v>
      </c>
      <c r="H16" s="27" t="s">
        <v>195</v>
      </c>
      <c r="I16" s="1"/>
      <c r="J16" s="40">
        <v>6334.02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10.7264262569037</v>
      </c>
      <c r="H17" s="27" t="s">
        <v>195</v>
      </c>
      <c r="I17" s="1"/>
      <c r="J17" s="40">
        <v>11872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40.2930088854419</v>
      </c>
      <c r="H18" s="27" t="s">
        <v>195</v>
      </c>
      <c r="I18" s="1"/>
      <c r="J18" s="40">
        <v>44596.27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20.2183286724457</v>
      </c>
      <c r="H19" s="27" t="s">
        <v>195</v>
      </c>
      <c r="I19" s="1"/>
      <c r="J19" s="40">
        <v>22377.63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12800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500</v>
      </c>
      <c r="K25" s="44" t="s">
        <v>196</v>
      </c>
      <c r="L25" s="15"/>
    </row>
    <row r="26" ht="21.75" customHeight="1" spans="1:14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1957.16</v>
      </c>
      <c r="K26" s="44" t="s">
        <v>196</v>
      </c>
      <c r="L26" s="15"/>
      <c r="N26" t="s">
        <v>77</v>
      </c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1124.65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220</v>
      </c>
      <c r="E29" s="15"/>
      <c r="F29" s="15"/>
      <c r="G29" s="31"/>
      <c r="H29" s="15"/>
      <c r="I29" s="15"/>
      <c r="J29" s="45">
        <v>2495.82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2000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1500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110679.92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26.8386801859055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17.6285139986557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9.21016618724974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57825.66</v>
      </c>
      <c r="K37" s="43" t="s">
        <v>196</v>
      </c>
      <c r="L37" s="12"/>
    </row>
    <row r="38" ht="21.75" customHeight="1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/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A1:T61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1007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93" t="s">
        <v>1008</v>
      </c>
      <c r="D4" s="96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186">
        <v>39262</v>
      </c>
      <c r="D5" s="96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893" t="s">
        <v>815</v>
      </c>
      <c r="D6" s="9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893" t="s">
        <v>369</v>
      </c>
      <c r="D7" s="96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893" t="s">
        <v>11</v>
      </c>
      <c r="D8" s="96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893" t="s">
        <v>281</v>
      </c>
      <c r="D9" s="9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893" t="s">
        <v>1009</v>
      </c>
      <c r="D10" s="9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 t="s">
        <v>23</v>
      </c>
      <c r="F13" s="68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2</v>
      </c>
      <c r="E14" s="68">
        <v>1</v>
      </c>
      <c r="F14" s="68"/>
      <c r="G14" s="68"/>
      <c r="H14" s="64"/>
      <c r="I14" s="57" t="s">
        <v>27</v>
      </c>
      <c r="J14" s="64"/>
      <c r="K14" s="161">
        <v>11026.2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3770</v>
      </c>
      <c r="E15" s="69">
        <v>1885</v>
      </c>
      <c r="F15" s="68"/>
      <c r="G15" s="69"/>
      <c r="H15" s="98">
        <v>5655</v>
      </c>
      <c r="I15" s="57" t="s">
        <v>27</v>
      </c>
      <c r="J15" s="64"/>
      <c r="K15" s="162">
        <f>K14/365</f>
        <v>30.2087671232877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3600</v>
      </c>
      <c r="E16" s="69">
        <v>1800</v>
      </c>
      <c r="F16" s="68"/>
      <c r="G16" s="69"/>
      <c r="H16" s="98">
        <v>5400</v>
      </c>
      <c r="I16" s="56" t="s">
        <v>157</v>
      </c>
      <c r="J16" s="56"/>
      <c r="K16" s="163">
        <v>0.944767165003995</v>
      </c>
      <c r="L16" s="118" t="s">
        <v>59</v>
      </c>
      <c r="M16" s="195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70" t="s">
        <v>63</v>
      </c>
      <c r="F17" s="68"/>
      <c r="G17" s="70"/>
      <c r="H17" s="98"/>
      <c r="I17" s="56" t="s">
        <v>437</v>
      </c>
      <c r="J17" s="56"/>
      <c r="K17" s="164">
        <v>3.20494092128278</v>
      </c>
      <c r="L17" s="118" t="s">
        <v>59</v>
      </c>
      <c r="M17" s="195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71">
        <v>0</v>
      </c>
      <c r="F18" s="68"/>
      <c r="G18" s="71"/>
      <c r="H18" s="98">
        <v>0</v>
      </c>
      <c r="I18" s="56" t="s">
        <v>58</v>
      </c>
      <c r="J18" s="56"/>
      <c r="K18" s="164">
        <v>74</v>
      </c>
      <c r="L18" s="118" t="s">
        <v>59</v>
      </c>
      <c r="M18" s="195"/>
    </row>
    <row r="19" ht="15" customHeight="1" spans="1:13">
      <c r="A19" s="157"/>
      <c r="B19" s="57"/>
      <c r="C19" s="56"/>
      <c r="D19" s="70"/>
      <c r="E19" s="70"/>
      <c r="F19" s="187"/>
      <c r="G19" s="70"/>
      <c r="H19" s="100"/>
      <c r="I19" s="56" t="s">
        <v>155</v>
      </c>
      <c r="J19" s="56"/>
      <c r="K19" s="164">
        <v>2.87972299332949</v>
      </c>
      <c r="L19" s="118" t="s">
        <v>59</v>
      </c>
      <c r="M19" s="195"/>
    </row>
    <row r="20" ht="15" customHeight="1" spans="1:13">
      <c r="A20" s="157"/>
      <c r="B20" s="72" t="s">
        <v>69</v>
      </c>
      <c r="C20" s="73"/>
      <c r="D20" s="74"/>
      <c r="E20" s="74"/>
      <c r="F20" s="68"/>
      <c r="G20" s="74"/>
      <c r="H20" s="101"/>
      <c r="I20" s="56" t="s">
        <v>67</v>
      </c>
      <c r="J20" s="56"/>
      <c r="K20" s="164">
        <v>15.7</v>
      </c>
      <c r="L20" s="118" t="s">
        <v>59</v>
      </c>
      <c r="M20" s="195"/>
    </row>
    <row r="21" ht="15" customHeight="1" spans="1:13">
      <c r="A21" s="157"/>
      <c r="B21" s="66" t="s">
        <v>71</v>
      </c>
      <c r="C21" s="64" t="s">
        <v>59</v>
      </c>
      <c r="D21" s="75">
        <v>14.3</v>
      </c>
      <c r="E21" s="75">
        <v>9.3</v>
      </c>
      <c r="F21" s="68"/>
      <c r="G21" s="77"/>
      <c r="H21" s="102"/>
      <c r="I21" s="56" t="s">
        <v>655</v>
      </c>
      <c r="J21" s="56"/>
      <c r="K21" s="164">
        <v>3.23128539030693</v>
      </c>
      <c r="L21" s="118" t="s">
        <v>59</v>
      </c>
      <c r="M21" s="195"/>
    </row>
    <row r="22" ht="15" customHeight="1" spans="1:12">
      <c r="A22" s="157"/>
      <c r="B22" s="66" t="s">
        <v>73</v>
      </c>
      <c r="C22" s="64" t="s">
        <v>59</v>
      </c>
      <c r="D22" s="75">
        <v>81.4</v>
      </c>
      <c r="E22" s="75">
        <v>78.7</v>
      </c>
      <c r="F22" s="68"/>
      <c r="G22" s="77"/>
      <c r="H22" s="78"/>
      <c r="I22" s="57"/>
      <c r="J22" s="56"/>
      <c r="K22" s="164"/>
      <c r="L22" s="118" t="s">
        <v>59</v>
      </c>
    </row>
    <row r="23" ht="15" customHeight="1" spans="1:15">
      <c r="A23" s="157"/>
      <c r="B23" s="66" t="s">
        <v>74</v>
      </c>
      <c r="C23" s="76" t="s">
        <v>75</v>
      </c>
      <c r="D23" s="77"/>
      <c r="E23" s="77"/>
      <c r="F23" s="68"/>
      <c r="G23" s="78"/>
      <c r="H23" s="103" t="s">
        <v>482</v>
      </c>
      <c r="I23" s="125" t="s">
        <v>76</v>
      </c>
      <c r="J23" s="56"/>
      <c r="K23" s="165"/>
      <c r="L23" s="118"/>
      <c r="M23" s="195"/>
      <c r="O23" s="156" t="s">
        <v>77</v>
      </c>
    </row>
    <row r="24" ht="15" customHeight="1" spans="1:12">
      <c r="A24" s="157"/>
      <c r="B24" s="66" t="s">
        <v>78</v>
      </c>
      <c r="C24" s="56" t="s">
        <v>79</v>
      </c>
      <c r="D24" s="77"/>
      <c r="E24" s="77"/>
      <c r="F24" s="68"/>
      <c r="G24" s="78"/>
      <c r="H24" s="104" t="s">
        <v>1010</v>
      </c>
      <c r="I24" s="127" t="s">
        <v>80</v>
      </c>
      <c r="J24" s="56"/>
      <c r="K24" s="163">
        <v>41.5</v>
      </c>
      <c r="L24" s="118" t="s">
        <v>59</v>
      </c>
    </row>
    <row r="25" ht="15" customHeight="1" spans="1:14">
      <c r="A25" s="157"/>
      <c r="B25" s="57" t="s">
        <v>81</v>
      </c>
      <c r="C25" s="56" t="s">
        <v>59</v>
      </c>
      <c r="D25" s="77"/>
      <c r="E25" s="77"/>
      <c r="F25" s="68"/>
      <c r="G25" s="77"/>
      <c r="H25" s="104" t="s">
        <v>235</v>
      </c>
      <c r="I25" s="128" t="s">
        <v>83</v>
      </c>
      <c r="J25" s="56"/>
      <c r="K25" s="163">
        <v>96.2</v>
      </c>
      <c r="L25" s="118" t="s">
        <v>59</v>
      </c>
      <c r="M25" s="195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78"/>
      <c r="F26" s="68"/>
      <c r="G26" s="78"/>
      <c r="H26" s="105" t="s">
        <v>297</v>
      </c>
      <c r="I26" s="57" t="s">
        <v>86</v>
      </c>
      <c r="J26" s="56"/>
      <c r="K26" s="163">
        <v>79</v>
      </c>
      <c r="L26" s="118" t="s">
        <v>59</v>
      </c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78"/>
      <c r="F27" s="68"/>
      <c r="G27" s="78"/>
      <c r="H27" s="103" t="s">
        <v>254</v>
      </c>
      <c r="I27" s="129"/>
      <c r="J27" s="130"/>
      <c r="K27" s="130"/>
      <c r="L27" s="167"/>
      <c r="M27" s="195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78"/>
      <c r="F28" s="68"/>
      <c r="G28" s="78"/>
      <c r="H28" s="103" t="s">
        <v>294</v>
      </c>
      <c r="I28" s="63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8.10591666666667</v>
      </c>
      <c r="E29" s="75">
        <v>8.03892857142857</v>
      </c>
      <c r="F29" s="68"/>
      <c r="G29" s="80"/>
      <c r="H29" s="78"/>
      <c r="I29" s="66" t="s">
        <v>26</v>
      </c>
      <c r="J29" s="64"/>
      <c r="K29" s="64">
        <v>1</v>
      </c>
      <c r="L29" s="114"/>
    </row>
    <row r="30" ht="15" customHeight="1" spans="1:12">
      <c r="A30" s="157"/>
      <c r="B30" s="66" t="s">
        <v>94</v>
      </c>
      <c r="C30" s="56" t="s">
        <v>95</v>
      </c>
      <c r="D30" s="77">
        <v>47.9546410958904</v>
      </c>
      <c r="E30" s="77">
        <v>35.0138630136986</v>
      </c>
      <c r="F30" s="68"/>
      <c r="G30" s="77"/>
      <c r="H30" s="78"/>
      <c r="I30" s="66" t="s">
        <v>96</v>
      </c>
      <c r="J30" s="92"/>
      <c r="K30" s="92">
        <v>1800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4.195</v>
      </c>
      <c r="E31" s="75">
        <v>4.5</v>
      </c>
      <c r="F31" s="68"/>
      <c r="G31" s="80"/>
      <c r="H31" s="78"/>
      <c r="I31" s="66" t="s">
        <v>99</v>
      </c>
      <c r="J31" s="92"/>
      <c r="K31" s="92">
        <v>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8.61</v>
      </c>
      <c r="E32" s="75">
        <v>6.5</v>
      </c>
      <c r="F32" s="68"/>
      <c r="G32" s="80"/>
      <c r="H32" s="78"/>
      <c r="I32" s="66" t="s">
        <v>66</v>
      </c>
      <c r="J32" s="92"/>
      <c r="K32" s="92">
        <v>600</v>
      </c>
      <c r="L32" s="114" t="s">
        <v>55</v>
      </c>
    </row>
    <row r="33" ht="15" customHeight="1" spans="1:12">
      <c r="A33" s="157"/>
      <c r="B33" s="66" t="s">
        <v>101</v>
      </c>
      <c r="C33" s="64" t="s">
        <v>102</v>
      </c>
      <c r="D33" s="69">
        <v>1704.87200829727</v>
      </c>
      <c r="E33" s="77">
        <v>789.093649090909</v>
      </c>
      <c r="F33" s="68"/>
      <c r="G33" s="80"/>
      <c r="H33" s="78"/>
      <c r="I33" s="57" t="s">
        <v>103</v>
      </c>
      <c r="J33" s="64"/>
      <c r="K33" s="162" t="s">
        <v>1011</v>
      </c>
      <c r="L33" s="114" t="s">
        <v>59</v>
      </c>
    </row>
    <row r="34" ht="15" customHeight="1" spans="1:12">
      <c r="A34" s="157"/>
      <c r="B34" s="66" t="s">
        <v>104</v>
      </c>
      <c r="C34" s="64" t="s">
        <v>62</v>
      </c>
      <c r="D34" s="80">
        <v>0.40598171228831</v>
      </c>
      <c r="E34" s="80">
        <v>0.23</v>
      </c>
      <c r="F34" s="68"/>
      <c r="G34" s="80"/>
      <c r="H34" s="78"/>
      <c r="I34" s="66" t="s">
        <v>105</v>
      </c>
      <c r="J34" s="64"/>
      <c r="K34" s="194">
        <v>5.9</v>
      </c>
      <c r="L34" s="114" t="s">
        <v>59</v>
      </c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94">
        <v>76.4</v>
      </c>
      <c r="L35" s="114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61</v>
      </c>
      <c r="E39" s="78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50.5701890932765</v>
      </c>
    </row>
    <row r="41" ht="15" customHeight="1" spans="1:12">
      <c r="A41" s="157"/>
      <c r="B41" s="86"/>
      <c r="C41" s="77"/>
      <c r="D41" s="67" t="s">
        <v>115</v>
      </c>
      <c r="E41" s="67" t="s">
        <v>273</v>
      </c>
      <c r="F41" s="67" t="s">
        <v>315</v>
      </c>
      <c r="G41" s="67"/>
      <c r="H41" s="67"/>
      <c r="I41" s="66"/>
      <c r="J41" s="64" t="s">
        <v>113</v>
      </c>
      <c r="K41" s="78" t="s">
        <v>116</v>
      </c>
      <c r="L41" s="103">
        <v>49.2732075676606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 t="s">
        <v>119</v>
      </c>
      <c r="F42" s="78" t="s">
        <v>119</v>
      </c>
      <c r="G42" s="78"/>
      <c r="H42" s="102"/>
      <c r="I42" s="66"/>
      <c r="J42" s="64" t="s">
        <v>113</v>
      </c>
      <c r="K42" s="78" t="s">
        <v>120</v>
      </c>
      <c r="L42" s="173">
        <v>0.498675796026891</v>
      </c>
    </row>
    <row r="43" ht="15" customHeight="1" spans="1:12">
      <c r="A43" s="157"/>
      <c r="B43" s="66" t="s">
        <v>121</v>
      </c>
      <c r="C43" s="64" t="s">
        <v>122</v>
      </c>
      <c r="D43" s="77">
        <v>400</v>
      </c>
      <c r="E43" s="77">
        <v>400</v>
      </c>
      <c r="F43" s="77">
        <v>901</v>
      </c>
      <c r="G43" s="78"/>
      <c r="H43" s="102"/>
      <c r="I43" s="66"/>
      <c r="J43" s="64" t="s">
        <v>123</v>
      </c>
      <c r="K43" s="172" t="s">
        <v>124</v>
      </c>
      <c r="L43" s="174">
        <v>78.2687273391197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431.578947368421</v>
      </c>
      <c r="E44" s="77">
        <f>E43/E45*E46</f>
        <v>431.578947368421</v>
      </c>
      <c r="F44" s="78">
        <v>912</v>
      </c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38</v>
      </c>
      <c r="E45" s="75">
        <v>38</v>
      </c>
      <c r="F45" s="78">
        <v>42.3</v>
      </c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41</v>
      </c>
      <c r="E46" s="75">
        <v>41</v>
      </c>
      <c r="F46" s="78">
        <v>42.8</v>
      </c>
      <c r="G46" s="78"/>
      <c r="H46" s="102"/>
      <c r="I46" s="66"/>
      <c r="J46" s="64" t="s">
        <v>131</v>
      </c>
      <c r="K46" s="77">
        <v>297.293436967657</v>
      </c>
      <c r="L46" s="174">
        <v>151.15432264507</v>
      </c>
      <c r="M46" s="180"/>
    </row>
    <row r="47" ht="15" customHeight="1" spans="1:12">
      <c r="A47" s="157"/>
      <c r="B47" s="57" t="s">
        <v>132</v>
      </c>
      <c r="C47" s="56" t="s">
        <v>62</v>
      </c>
      <c r="D47" s="70" t="s">
        <v>725</v>
      </c>
      <c r="E47" s="70" t="s">
        <v>725</v>
      </c>
      <c r="F47" s="70" t="s">
        <v>725</v>
      </c>
      <c r="G47" s="78"/>
      <c r="H47" s="102"/>
      <c r="I47" s="66"/>
      <c r="J47" s="64" t="s">
        <v>134</v>
      </c>
      <c r="K47" s="77">
        <f>K46/K24*100/K25*100</f>
        <v>744.667076541485</v>
      </c>
      <c r="L47" s="174">
        <f>K47*L40/100</f>
        <v>376.579548722403</v>
      </c>
    </row>
    <row r="48" ht="15" customHeight="1" spans="1:13">
      <c r="A48" s="157"/>
      <c r="B48" s="66" t="s">
        <v>135</v>
      </c>
      <c r="C48" s="64" t="s">
        <v>240</v>
      </c>
      <c r="D48" s="77"/>
      <c r="E48" s="69"/>
      <c r="F48" s="78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8760*D50/100</f>
        <v>3947.92737691002</v>
      </c>
      <c r="E49" s="69">
        <f>8760*E50/100</f>
        <v>3774.91475058614</v>
      </c>
      <c r="F49" s="69">
        <f>8760*F50/100</f>
        <v>4043.14275897757</v>
      </c>
      <c r="G49" s="69"/>
      <c r="H49" s="98"/>
      <c r="I49" s="66"/>
      <c r="J49" s="64" t="s">
        <v>139</v>
      </c>
      <c r="K49" s="69">
        <v>17506.3890410959</v>
      </c>
      <c r="L49" s="98"/>
    </row>
    <row r="50" ht="15" customHeight="1" spans="1:20">
      <c r="A50" s="157"/>
      <c r="B50" s="57" t="s">
        <v>140</v>
      </c>
      <c r="C50" s="64" t="s">
        <v>59</v>
      </c>
      <c r="D50" s="77">
        <v>45.0676641199774</v>
      </c>
      <c r="E50" s="77">
        <v>43.0926341391112</v>
      </c>
      <c r="F50" s="77">
        <v>46.1545977052234</v>
      </c>
      <c r="G50" s="78"/>
      <c r="H50" s="102"/>
      <c r="I50" s="66"/>
      <c r="J50" s="64" t="s">
        <v>141</v>
      </c>
      <c r="K50" s="69">
        <f>K49/K15</f>
        <v>579.513522337705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433821.401107194</v>
      </c>
      <c r="D55" s="193">
        <v>6.8</v>
      </c>
      <c r="E55" s="111" t="s">
        <v>147</v>
      </c>
      <c r="F55" s="64"/>
      <c r="G55" s="64" t="s">
        <v>148</v>
      </c>
      <c r="H55" s="64"/>
      <c r="I55" s="69"/>
      <c r="J55" s="69"/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274</v>
      </c>
      <c r="H56" s="64"/>
      <c r="I56" s="69">
        <v>3905816.44086022</v>
      </c>
      <c r="J56" s="77">
        <v>59.1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4:8">
      <c r="D61" s="156" t="s">
        <v>77</v>
      </c>
      <c r="G61"/>
      <c r="H61"/>
    </row>
  </sheetData>
  <mergeCells count="2">
    <mergeCell ref="B2:L2"/>
    <mergeCell ref="I36:L36"/>
  </mergeCells>
  <pageMargins left="0.7" right="0.7" top="0.787401575" bottom="0.7874015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599993896298105"/>
  </sheetPr>
  <dimension ref="J4:M55"/>
  <sheetViews>
    <sheetView zoomScale="85" zoomScaleNormal="85" workbookViewId="0">
      <selection activeCell="A1" sqref="A1"/>
    </sheetView>
  </sheetViews>
  <sheetFormatPr defaultColWidth="11.5" defaultRowHeight="16.8"/>
  <sheetData>
    <row r="4" ht="20.4" spans="10:10">
      <c r="J4" s="190" t="s">
        <v>1012</v>
      </c>
    </row>
    <row r="25" spans="11:12">
      <c r="K25" t="s">
        <v>259</v>
      </c>
      <c r="L25" t="s">
        <v>546</v>
      </c>
    </row>
    <row r="26" spans="10:11">
      <c r="J26" t="s">
        <v>177</v>
      </c>
      <c r="K26">
        <v>0.37</v>
      </c>
    </row>
    <row r="27" spans="10:11">
      <c r="J27" t="s">
        <v>166</v>
      </c>
      <c r="K27">
        <v>0.35</v>
      </c>
    </row>
    <row r="28" spans="10:12">
      <c r="J28" t="s">
        <v>167</v>
      </c>
      <c r="K28">
        <v>0.28</v>
      </c>
      <c r="L28">
        <v>0.21</v>
      </c>
    </row>
    <row r="29" spans="10:12">
      <c r="J29" t="s">
        <v>168</v>
      </c>
      <c r="K29">
        <v>0.3</v>
      </c>
      <c r="L29">
        <v>0.3</v>
      </c>
    </row>
    <row r="30" spans="10:12">
      <c r="J30" t="s">
        <v>169</v>
      </c>
      <c r="K30">
        <v>0.33</v>
      </c>
      <c r="L30">
        <v>0.2</v>
      </c>
    </row>
    <row r="31" spans="10:12">
      <c r="J31" t="s">
        <v>170</v>
      </c>
      <c r="K31">
        <v>0.39</v>
      </c>
      <c r="L31">
        <v>0.23</v>
      </c>
    </row>
    <row r="32" spans="10:12">
      <c r="J32" t="s">
        <v>171</v>
      </c>
      <c r="K32">
        <v>0.28</v>
      </c>
      <c r="L32">
        <v>0.2</v>
      </c>
    </row>
    <row r="33" spans="10:12">
      <c r="J33" t="s">
        <v>172</v>
      </c>
      <c r="K33">
        <v>0.32</v>
      </c>
      <c r="L33">
        <v>0.26</v>
      </c>
    </row>
    <row r="34" spans="10:12">
      <c r="J34" t="s">
        <v>173</v>
      </c>
      <c r="K34">
        <v>0.36</v>
      </c>
      <c r="L34">
        <v>0.21</v>
      </c>
    </row>
    <row r="35" spans="10:12">
      <c r="J35" t="s">
        <v>174</v>
      </c>
      <c r="K35">
        <v>0.49</v>
      </c>
      <c r="L35">
        <v>0.25</v>
      </c>
    </row>
    <row r="36" spans="10:12">
      <c r="J36" t="s">
        <v>175</v>
      </c>
      <c r="K36">
        <v>0.65</v>
      </c>
      <c r="L36">
        <v>0.23</v>
      </c>
    </row>
    <row r="37" spans="10:11">
      <c r="J37" t="s">
        <v>176</v>
      </c>
      <c r="K37">
        <v>0.76</v>
      </c>
    </row>
    <row r="42" spans="12:12">
      <c r="L42" t="s">
        <v>183</v>
      </c>
    </row>
    <row r="43" spans="11:13">
      <c r="K43" t="s">
        <v>177</v>
      </c>
      <c r="L43">
        <v>75.6416666666667</v>
      </c>
      <c r="M43" s="191">
        <v>80.68444444</v>
      </c>
    </row>
    <row r="44" spans="11:13">
      <c r="K44" t="s">
        <v>166</v>
      </c>
      <c r="L44">
        <v>94.8508064516129</v>
      </c>
      <c r="M44" s="191">
        <v>101.1741935</v>
      </c>
    </row>
    <row r="45" spans="11:13">
      <c r="K45" t="s">
        <v>167</v>
      </c>
      <c r="L45">
        <v>93.05</v>
      </c>
      <c r="M45" s="191">
        <v>99.25333333</v>
      </c>
    </row>
    <row r="46" spans="11:13">
      <c r="K46" t="s">
        <v>168</v>
      </c>
      <c r="L46">
        <v>89.3306451612903</v>
      </c>
      <c r="M46" s="191">
        <v>95.28602151</v>
      </c>
    </row>
    <row r="47" spans="11:13">
      <c r="K47" t="s">
        <v>169</v>
      </c>
      <c r="L47">
        <v>85.25</v>
      </c>
      <c r="M47" s="191">
        <v>90.93333333</v>
      </c>
    </row>
    <row r="48" spans="11:13">
      <c r="K48" t="s">
        <v>170</v>
      </c>
      <c r="L48">
        <v>88.0119047619048</v>
      </c>
      <c r="M48" s="191">
        <v>105.6142857</v>
      </c>
    </row>
    <row r="49" spans="11:13">
      <c r="K49" t="s">
        <v>171</v>
      </c>
      <c r="L49">
        <v>98.8530465949821</v>
      </c>
      <c r="M49" s="191">
        <v>118.6236559</v>
      </c>
    </row>
    <row r="50" spans="11:13">
      <c r="K50" t="s">
        <v>172</v>
      </c>
      <c r="L50">
        <v>96.2333333333333</v>
      </c>
      <c r="M50" s="191">
        <v>115.48</v>
      </c>
    </row>
    <row r="51" spans="11:13">
      <c r="K51" t="s">
        <v>173</v>
      </c>
      <c r="L51">
        <v>90.8172043010753</v>
      </c>
      <c r="M51" s="191">
        <v>108.9806452</v>
      </c>
    </row>
    <row r="52" spans="11:13">
      <c r="K52" t="s">
        <v>174</v>
      </c>
      <c r="L52">
        <v>83.4296296296296</v>
      </c>
      <c r="M52" s="191">
        <v>100.1155556</v>
      </c>
    </row>
    <row r="53" spans="11:13">
      <c r="K53" t="s">
        <v>175</v>
      </c>
      <c r="L53">
        <v>77.6093189964158</v>
      </c>
      <c r="M53" s="191">
        <v>93.1311828</v>
      </c>
    </row>
    <row r="54" spans="11:13">
      <c r="K54" t="s">
        <v>176</v>
      </c>
      <c r="L54">
        <v>49.0286738351254</v>
      </c>
      <c r="M54" s="191">
        <v>58.8344086</v>
      </c>
    </row>
    <row r="55" spans="12:12">
      <c r="L55">
        <f>AVERAGE(L43:L54)</f>
        <v>85.1755191443364</v>
      </c>
    </row>
  </sheetData>
  <pageMargins left="0.7" right="0.7" top="0.787401575" bottom="0.787401575" header="0.3" footer="0.3"/>
  <headerFooter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599993896298105"/>
  </sheetPr>
  <dimension ref="A1:T61"/>
  <sheetViews>
    <sheetView zoomScale="115" zoomScaleNormal="115" workbookViewId="0">
      <selection activeCell="B2" sqref="B2:L58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25.5" customHeight="1" spans="1:13">
      <c r="A2" s="157"/>
      <c r="B2" s="49" t="s">
        <v>1013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739</v>
      </c>
      <c r="D4" s="96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186">
        <v>42370</v>
      </c>
      <c r="D5" s="96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55" t="s">
        <v>815</v>
      </c>
      <c r="D6" s="96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369</v>
      </c>
      <c r="D7" s="96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5" t="s">
        <v>11</v>
      </c>
      <c r="D8" s="96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6" t="s">
        <v>13</v>
      </c>
      <c r="D9" s="96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6" t="s">
        <v>968</v>
      </c>
      <c r="D10" s="96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8"/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8"/>
      <c r="F14" s="68"/>
      <c r="G14" s="68"/>
      <c r="H14" s="64"/>
      <c r="I14" s="57" t="s">
        <v>27</v>
      </c>
      <c r="J14" s="64"/>
      <c r="K14" s="161">
        <v>6896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920</v>
      </c>
      <c r="E15" s="68"/>
      <c r="F15" s="69"/>
      <c r="G15" s="69"/>
      <c r="H15" s="98">
        <f>SUM(D15:F15)</f>
        <v>920</v>
      </c>
      <c r="I15" s="57" t="s">
        <v>27</v>
      </c>
      <c r="J15" s="64"/>
      <c r="K15" s="162">
        <f>K14/365</f>
        <v>18.8931506849315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850</v>
      </c>
      <c r="E16" s="68"/>
      <c r="F16" s="69"/>
      <c r="G16" s="69"/>
      <c r="H16" s="98">
        <f>SUM(D16:F16)</f>
        <v>850</v>
      </c>
      <c r="I16" s="56" t="s">
        <v>58</v>
      </c>
      <c r="J16" s="56"/>
      <c r="K16" s="163">
        <v>9.2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68"/>
      <c r="F17" s="70"/>
      <c r="G17" s="70"/>
      <c r="H17" s="98"/>
      <c r="I17" s="56" t="s">
        <v>291</v>
      </c>
      <c r="J17" s="56"/>
      <c r="K17" s="164">
        <v>87.1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0</v>
      </c>
      <c r="E18" s="68"/>
      <c r="F18" s="71"/>
      <c r="G18" s="71"/>
      <c r="H18" s="98">
        <f>SUM(D18:F18)</f>
        <v>0</v>
      </c>
      <c r="I18" s="56" t="s">
        <v>251</v>
      </c>
      <c r="J18" s="56"/>
      <c r="K18" s="164">
        <v>1.9825463847725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187"/>
      <c r="F19" s="70"/>
      <c r="G19" s="70"/>
      <c r="H19" s="100"/>
      <c r="I19" s="56" t="s">
        <v>371</v>
      </c>
      <c r="J19" s="56"/>
      <c r="K19" s="164">
        <v>1.66690987303689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68"/>
      <c r="F20" s="74"/>
      <c r="G20" s="74"/>
      <c r="H20" s="101"/>
      <c r="I20" s="56"/>
      <c r="J20" s="56"/>
      <c r="K20" s="124"/>
      <c r="L20" s="123"/>
      <c r="M20" s="178"/>
    </row>
    <row r="21" ht="15" customHeight="1" spans="1:13">
      <c r="A21" s="157"/>
      <c r="B21" s="66" t="s">
        <v>71</v>
      </c>
      <c r="C21" s="64" t="s">
        <v>59</v>
      </c>
      <c r="D21" s="75">
        <v>5</v>
      </c>
      <c r="E21" s="68"/>
      <c r="F21" s="77"/>
      <c r="G21" s="77"/>
      <c r="H21" s="102"/>
      <c r="I21" s="56"/>
      <c r="J21" s="56"/>
      <c r="K21" s="124"/>
      <c r="L21" s="123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76.1</v>
      </c>
      <c r="E22" s="68"/>
      <c r="F22" s="77"/>
      <c r="G22" s="77"/>
      <c r="H22" s="78"/>
      <c r="I22" s="57"/>
      <c r="J22" s="56"/>
      <c r="K22" s="164"/>
      <c r="L22" s="123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68"/>
      <c r="F23" s="77"/>
      <c r="G23" s="78"/>
      <c r="H23" s="103" t="s">
        <v>267</v>
      </c>
      <c r="I23" s="125" t="s">
        <v>76</v>
      </c>
      <c r="J23" s="56"/>
      <c r="K23" s="165"/>
      <c r="L23" s="123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68"/>
      <c r="F24" s="77"/>
      <c r="G24" s="78"/>
      <c r="H24" s="104" t="s">
        <v>908</v>
      </c>
      <c r="I24" s="127" t="s">
        <v>80</v>
      </c>
      <c r="J24" s="56"/>
      <c r="K24" s="163">
        <v>9.9</v>
      </c>
      <c r="L24" s="123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68"/>
      <c r="F25" s="77"/>
      <c r="G25" s="77"/>
      <c r="H25" s="104" t="s">
        <v>415</v>
      </c>
      <c r="I25" s="128" t="s">
        <v>83</v>
      </c>
      <c r="J25" s="56"/>
      <c r="K25" s="163">
        <v>87.3</v>
      </c>
      <c r="L25" s="123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68"/>
      <c r="F26" s="78"/>
      <c r="G26" s="78"/>
      <c r="H26" s="105" t="s">
        <v>1014</v>
      </c>
      <c r="I26" s="57" t="s">
        <v>86</v>
      </c>
      <c r="J26" s="56"/>
      <c r="K26" s="163">
        <v>68.7</v>
      </c>
      <c r="L26" s="123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68"/>
      <c r="F27" s="78"/>
      <c r="G27" s="78"/>
      <c r="H27" s="103" t="s">
        <v>298</v>
      </c>
      <c r="I27" s="129"/>
      <c r="J27" s="130"/>
      <c r="K27" s="131"/>
      <c r="L27" s="132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68"/>
      <c r="F28" s="78"/>
      <c r="G28" s="78"/>
      <c r="H28" s="103" t="s">
        <v>429</v>
      </c>
      <c r="I28" s="63" t="s">
        <v>93</v>
      </c>
      <c r="J28" s="133"/>
      <c r="K28" s="134"/>
      <c r="L28" s="120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7.94990909090909</v>
      </c>
      <c r="E29" s="68"/>
      <c r="F29" s="75"/>
      <c r="G29" s="80"/>
      <c r="H29" s="78"/>
      <c r="I29" s="66" t="s">
        <v>26</v>
      </c>
      <c r="J29" s="64"/>
      <c r="K29" s="134">
        <v>1</v>
      </c>
      <c r="L29" s="120"/>
    </row>
    <row r="30" ht="15" customHeight="1" spans="1:12">
      <c r="A30" s="157"/>
      <c r="B30" s="66" t="s">
        <v>94</v>
      </c>
      <c r="C30" s="56" t="s">
        <v>95</v>
      </c>
      <c r="D30" s="75">
        <v>39.9460273972603</v>
      </c>
      <c r="E30" s="68"/>
      <c r="F30" s="77"/>
      <c r="G30" s="77"/>
      <c r="H30" s="78"/>
      <c r="I30" s="66" t="s">
        <v>96</v>
      </c>
      <c r="J30" s="92"/>
      <c r="K30" s="92">
        <v>1900</v>
      </c>
      <c r="L30" s="120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3.47</v>
      </c>
      <c r="E31" s="68"/>
      <c r="F31" s="80"/>
      <c r="G31" s="80"/>
      <c r="H31" s="78"/>
      <c r="I31" s="66" t="s">
        <v>99</v>
      </c>
      <c r="J31" s="92"/>
      <c r="K31" s="92">
        <v>0</v>
      </c>
      <c r="L31" s="120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4.82</v>
      </c>
      <c r="E32" s="68"/>
      <c r="F32" s="80"/>
      <c r="G32" s="80"/>
      <c r="H32" s="78"/>
      <c r="I32" s="66" t="s">
        <v>66</v>
      </c>
      <c r="J32" s="92"/>
      <c r="K32" s="92">
        <v>550</v>
      </c>
      <c r="L32" s="120" t="s">
        <v>55</v>
      </c>
    </row>
    <row r="33" ht="15" customHeight="1" spans="1:12">
      <c r="A33" s="157"/>
      <c r="B33" s="66" t="s">
        <v>101</v>
      </c>
      <c r="C33" s="64" t="s">
        <v>102</v>
      </c>
      <c r="D33" s="77">
        <v>442</v>
      </c>
      <c r="E33" s="68"/>
      <c r="F33" s="80"/>
      <c r="G33" s="80"/>
      <c r="H33" s="78"/>
      <c r="I33" s="57" t="s">
        <v>103</v>
      </c>
      <c r="J33" s="64"/>
      <c r="K33" s="162" t="s">
        <v>1015</v>
      </c>
      <c r="L33" s="120" t="s">
        <v>59</v>
      </c>
    </row>
    <row r="34" ht="15" customHeight="1" spans="1:12">
      <c r="A34" s="157"/>
      <c r="B34" s="66" t="s">
        <v>104</v>
      </c>
      <c r="C34" s="64" t="s">
        <v>62</v>
      </c>
      <c r="D34" s="80">
        <v>0.2</v>
      </c>
      <c r="E34" s="68"/>
      <c r="F34" s="80"/>
      <c r="G34" s="80"/>
      <c r="H34" s="78"/>
      <c r="I34" s="66" t="s">
        <v>105</v>
      </c>
      <c r="J34" s="64"/>
      <c r="K34" s="168">
        <v>3.09825</v>
      </c>
      <c r="L34" s="120" t="s">
        <v>59</v>
      </c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68">
        <v>66.8</v>
      </c>
      <c r="L35" s="120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14"/>
    </row>
    <row r="39" ht="15" customHeight="1" spans="1:12">
      <c r="A39" s="157"/>
      <c r="B39" s="85" t="s">
        <v>111</v>
      </c>
      <c r="C39" s="64" t="s">
        <v>59</v>
      </c>
      <c r="D39" s="78">
        <v>39</v>
      </c>
      <c r="E39" s="78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56.2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78" t="s">
        <v>116</v>
      </c>
      <c r="L41" s="103">
        <v>44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78" t="s">
        <v>120</v>
      </c>
      <c r="L42" s="188">
        <v>0.2</v>
      </c>
    </row>
    <row r="43" ht="15" customHeight="1" spans="1:12">
      <c r="A43" s="157"/>
      <c r="B43" s="66" t="s">
        <v>121</v>
      </c>
      <c r="C43" s="64" t="s">
        <v>122</v>
      </c>
      <c r="D43" s="77">
        <v>75</v>
      </c>
      <c r="E43" s="77"/>
      <c r="F43" s="77"/>
      <c r="G43" s="78"/>
      <c r="H43" s="102"/>
      <c r="I43" s="66"/>
      <c r="J43" s="64" t="s">
        <v>123</v>
      </c>
      <c r="K43" s="172" t="s">
        <v>124</v>
      </c>
      <c r="L43" s="174">
        <v>146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90.2083333333333</v>
      </c>
      <c r="E44" s="77"/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36</v>
      </c>
      <c r="E45" s="77"/>
      <c r="F45" s="77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43.3</v>
      </c>
      <c r="E46" s="77"/>
      <c r="F46" s="77"/>
      <c r="G46" s="78"/>
      <c r="H46" s="102"/>
      <c r="I46" s="66"/>
      <c r="J46" s="64" t="s">
        <v>131</v>
      </c>
      <c r="K46" s="77">
        <f>952.420643640932/K15</f>
        <v>50.4108954363312</v>
      </c>
      <c r="L46" s="174">
        <f>K46*L40/100</f>
        <v>28.3309232352182</v>
      </c>
      <c r="M46" s="180"/>
    </row>
    <row r="47" ht="15" customHeight="1" spans="1:12">
      <c r="A47" s="157"/>
      <c r="B47" s="57" t="s">
        <v>132</v>
      </c>
      <c r="C47" s="56" t="s">
        <v>62</v>
      </c>
      <c r="D47" s="77" t="s">
        <v>133</v>
      </c>
      <c r="E47" s="77"/>
      <c r="F47" s="77"/>
      <c r="G47" s="78"/>
      <c r="H47" s="102"/>
      <c r="I47" s="66"/>
      <c r="J47" s="64" t="s">
        <v>134</v>
      </c>
      <c r="K47" s="77">
        <f>K46/K24*100/K25*100</f>
        <v>583.277163806811</v>
      </c>
      <c r="L47" s="174">
        <f>K47*L40/100</f>
        <v>327.801766059428</v>
      </c>
    </row>
    <row r="48" ht="15" customHeight="1" spans="1:13">
      <c r="A48" s="157"/>
      <c r="B48" s="66" t="s">
        <v>135</v>
      </c>
      <c r="C48" s="64" t="s">
        <v>240</v>
      </c>
      <c r="D48" s="71">
        <v>8581</v>
      </c>
      <c r="E48" s="77"/>
      <c r="F48" s="77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71">
        <v>8533.14666666667</v>
      </c>
      <c r="E49" s="77"/>
      <c r="F49" s="77"/>
      <c r="G49" s="69"/>
      <c r="H49" s="98"/>
      <c r="I49" s="66"/>
      <c r="J49" s="64" t="s">
        <v>139</v>
      </c>
      <c r="K49" s="69">
        <v>1753</v>
      </c>
      <c r="L49" s="98"/>
    </row>
    <row r="50" ht="15" customHeight="1" spans="1:20">
      <c r="A50" s="157"/>
      <c r="B50" s="57" t="s">
        <v>140</v>
      </c>
      <c r="C50" s="64" t="s">
        <v>59</v>
      </c>
      <c r="D50" s="77">
        <v>97.4103500761035</v>
      </c>
      <c r="E50" s="77"/>
      <c r="F50" s="77"/>
      <c r="G50" s="78"/>
      <c r="H50" s="102"/>
      <c r="I50" s="66"/>
      <c r="J50" s="64" t="s">
        <v>141</v>
      </c>
      <c r="K50" s="189">
        <f>K49/K15</f>
        <v>92.7849477958237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26861</v>
      </c>
      <c r="D55" s="69">
        <v>4.2</v>
      </c>
      <c r="E55" s="111" t="s">
        <v>147</v>
      </c>
      <c r="F55" s="64"/>
      <c r="G55" s="64" t="s">
        <v>148</v>
      </c>
      <c r="H55" s="64"/>
      <c r="I55" s="69">
        <v>230395</v>
      </c>
      <c r="J55" s="69">
        <v>30</v>
      </c>
      <c r="K55" s="111" t="s">
        <v>149</v>
      </c>
      <c r="L55" s="114"/>
    </row>
    <row r="56" ht="15" customHeight="1" spans="1:12">
      <c r="A56" s="157"/>
      <c r="B56" s="66"/>
      <c r="C56" s="69"/>
      <c r="D56" s="69"/>
      <c r="E56" s="111"/>
      <c r="F56" s="64"/>
      <c r="G56" s="64" t="s">
        <v>930</v>
      </c>
      <c r="H56" s="64"/>
      <c r="I56" s="69">
        <v>124627</v>
      </c>
      <c r="J56" s="69">
        <v>16.2</v>
      </c>
      <c r="K56" s="111" t="s">
        <v>149</v>
      </c>
      <c r="L56" s="114"/>
    </row>
    <row r="57" ht="15" customHeight="1" spans="1:12">
      <c r="A57" s="157"/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58" spans="1:1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ht="16.8" spans="1:8">
      <c r="A60" s="157"/>
      <c r="G60"/>
      <c r="H60"/>
    </row>
    <row r="61" ht="16.8" spans="7:8">
      <c r="G61"/>
      <c r="H61"/>
    </row>
  </sheetData>
  <mergeCells count="2">
    <mergeCell ref="B2:L2"/>
    <mergeCell ref="I36:L36"/>
  </mergeCells>
  <pageMargins left="0.7" right="0.7" top="0.787401575" bottom="0.7874015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599993896298105"/>
  </sheetPr>
  <dimension ref="K6:L53"/>
  <sheetViews>
    <sheetView zoomScale="85" zoomScaleNormal="85" workbookViewId="0">
      <selection activeCell="B2" sqref="B2:L58"/>
    </sheetView>
  </sheetViews>
  <sheetFormatPr defaultColWidth="11.5" defaultRowHeight="16.8"/>
  <sheetData>
    <row r="6" spans="11:11">
      <c r="K6" t="s">
        <v>1016</v>
      </c>
    </row>
    <row r="24" spans="11:12">
      <c r="K24" t="s">
        <v>177</v>
      </c>
      <c r="L24">
        <v>0.17</v>
      </c>
    </row>
    <row r="25" spans="11:12">
      <c r="K25" t="s">
        <v>166</v>
      </c>
      <c r="L25">
        <v>0.14</v>
      </c>
    </row>
    <row r="26" spans="11:11">
      <c r="K26" t="s">
        <v>167</v>
      </c>
    </row>
    <row r="27" spans="11:12">
      <c r="K27" t="s">
        <v>168</v>
      </c>
      <c r="L27">
        <v>0.23</v>
      </c>
    </row>
    <row r="28" spans="11:11">
      <c r="K28" t="s">
        <v>169</v>
      </c>
    </row>
    <row r="29" spans="11:12">
      <c r="K29" t="s">
        <v>170</v>
      </c>
      <c r="L29">
        <v>0.2</v>
      </c>
    </row>
    <row r="30" spans="11:12">
      <c r="K30" t="s">
        <v>171</v>
      </c>
      <c r="L30">
        <v>0.15</v>
      </c>
    </row>
    <row r="31" spans="11:12">
      <c r="K31" t="s">
        <v>172</v>
      </c>
      <c r="L31">
        <v>0.2</v>
      </c>
    </row>
    <row r="32" spans="11:12">
      <c r="K32" t="s">
        <v>173</v>
      </c>
      <c r="L32">
        <v>0.27</v>
      </c>
    </row>
    <row r="33" spans="11:12">
      <c r="K33" t="s">
        <v>174</v>
      </c>
      <c r="L33">
        <v>0.21</v>
      </c>
    </row>
    <row r="34" spans="11:12">
      <c r="K34" t="s">
        <v>175</v>
      </c>
      <c r="L34">
        <v>0.2</v>
      </c>
    </row>
    <row r="35" spans="11:12">
      <c r="K35" t="s">
        <v>176</v>
      </c>
      <c r="L35">
        <v>0.22</v>
      </c>
    </row>
    <row r="41" spans="12:12">
      <c r="L41" t="s">
        <v>183</v>
      </c>
    </row>
    <row r="42" spans="11:12">
      <c r="K42" t="s">
        <v>177</v>
      </c>
      <c r="L42">
        <v>96</v>
      </c>
    </row>
    <row r="43" spans="11:12">
      <c r="K43" t="s">
        <v>166</v>
      </c>
      <c r="L43">
        <v>97</v>
      </c>
    </row>
    <row r="44" spans="11:12">
      <c r="K44" t="s">
        <v>167</v>
      </c>
      <c r="L44">
        <v>98</v>
      </c>
    </row>
    <row r="45" spans="11:12">
      <c r="K45" t="s">
        <v>168</v>
      </c>
      <c r="L45">
        <v>98</v>
      </c>
    </row>
    <row r="46" spans="11:12">
      <c r="K46" t="s">
        <v>169</v>
      </c>
      <c r="L46">
        <v>96</v>
      </c>
    </row>
    <row r="47" spans="11:12">
      <c r="K47" t="s">
        <v>170</v>
      </c>
      <c r="L47">
        <v>99</v>
      </c>
    </row>
    <row r="48" spans="11:12">
      <c r="K48" t="s">
        <v>171</v>
      </c>
      <c r="L48">
        <v>93</v>
      </c>
    </row>
    <row r="49" spans="11:12">
      <c r="K49" t="s">
        <v>172</v>
      </c>
      <c r="L49">
        <v>99</v>
      </c>
    </row>
    <row r="50" spans="11:12">
      <c r="K50" t="s">
        <v>173</v>
      </c>
      <c r="L50">
        <v>99</v>
      </c>
    </row>
    <row r="51" spans="11:12">
      <c r="K51" t="s">
        <v>174</v>
      </c>
      <c r="L51">
        <v>99</v>
      </c>
    </row>
    <row r="52" spans="11:12">
      <c r="K52" t="s">
        <v>175</v>
      </c>
      <c r="L52">
        <v>100</v>
      </c>
    </row>
    <row r="53" spans="11:12">
      <c r="K53" t="s">
        <v>176</v>
      </c>
      <c r="L53">
        <v>95</v>
      </c>
    </row>
  </sheetData>
  <pageMargins left="0.7" right="0.7" top="0.787401575" bottom="0.787401575" header="0.3" footer="0.3"/>
  <headerFooter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599993896298105"/>
  </sheetPr>
  <dimension ref="A1:O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1013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2</v>
      </c>
      <c r="C3" s="5"/>
      <c r="D3" s="5"/>
      <c r="E3" s="5"/>
      <c r="F3" s="21">
        <v>75</v>
      </c>
      <c r="G3" s="22"/>
      <c r="H3" s="23" t="s">
        <v>187</v>
      </c>
      <c r="I3" s="5" t="s">
        <v>188</v>
      </c>
      <c r="J3" s="35">
        <v>625588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184">
        <v>71</v>
      </c>
      <c r="G4" s="184"/>
      <c r="H4" s="25" t="s">
        <v>187</v>
      </c>
      <c r="I4" s="7" t="s">
        <v>191</v>
      </c>
      <c r="J4" s="37">
        <v>500000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2">
      <c r="A6" s="1"/>
      <c r="B6" s="11"/>
      <c r="C6" s="1" t="s">
        <v>194</v>
      </c>
      <c r="D6" s="1"/>
      <c r="E6" s="1"/>
      <c r="F6" s="1"/>
      <c r="G6" s="26">
        <v>95.6050684359908</v>
      </c>
      <c r="H6" s="27" t="s">
        <v>195</v>
      </c>
      <c r="I6" s="1"/>
      <c r="J6" s="40">
        <v>152274.38</v>
      </c>
      <c r="K6" s="41" t="s">
        <v>196</v>
      </c>
      <c r="L6" s="1"/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1.25569473257406</v>
      </c>
      <c r="H7" s="27" t="s">
        <v>195</v>
      </c>
      <c r="I7" s="1"/>
      <c r="J7" s="40">
        <v>2000</v>
      </c>
      <c r="K7" s="41" t="s">
        <v>196</v>
      </c>
      <c r="L7" s="1"/>
    </row>
    <row r="8" ht="21.75" customHeight="1" spans="1:12">
      <c r="A8" s="1"/>
      <c r="B8" s="11"/>
      <c r="C8" s="1" t="s">
        <v>198</v>
      </c>
      <c r="D8" s="1"/>
      <c r="E8" s="1"/>
      <c r="F8" s="1"/>
      <c r="G8" s="26">
        <v>3.13923683143516</v>
      </c>
      <c r="H8" s="27" t="s">
        <v>195</v>
      </c>
      <c r="I8" s="1"/>
      <c r="J8" s="40">
        <v>5000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159274.38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42.1882682198101</v>
      </c>
      <c r="H11" s="27" t="s">
        <v>195</v>
      </c>
      <c r="I11" s="1"/>
      <c r="J11" s="40">
        <v>44620</v>
      </c>
      <c r="K11" s="41" t="s">
        <v>196</v>
      </c>
      <c r="L11" s="1"/>
    </row>
    <row r="12" ht="21.75" customHeight="1" spans="1:14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  <c r="N12" t="s">
        <v>77</v>
      </c>
    </row>
    <row r="13" ht="21.75" customHeight="1" spans="1:12">
      <c r="A13" s="15"/>
      <c r="B13" s="16"/>
      <c r="C13" s="15"/>
      <c r="D13" s="15" t="s">
        <v>203</v>
      </c>
      <c r="E13" s="185">
        <v>30</v>
      </c>
      <c r="F13" s="15" t="s">
        <v>204</v>
      </c>
      <c r="G13" s="31"/>
      <c r="H13" s="15"/>
      <c r="I13" s="15"/>
      <c r="J13" s="45">
        <v>18900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185">
        <v>20</v>
      </c>
      <c r="F14" s="15" t="s">
        <v>204</v>
      </c>
      <c r="G14" s="31"/>
      <c r="H14" s="15"/>
      <c r="I14" s="15"/>
      <c r="J14" s="45">
        <v>2720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185">
        <v>100</v>
      </c>
      <c r="F15" s="15" t="s">
        <v>204</v>
      </c>
      <c r="G15" s="31"/>
      <c r="H15" s="15"/>
      <c r="I15" s="15"/>
      <c r="J15" s="45">
        <v>11000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5.17898339699709</v>
      </c>
      <c r="H16" s="27" t="s">
        <v>195</v>
      </c>
      <c r="I16" s="1"/>
      <c r="J16" s="40">
        <v>5477.5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8.61824439317726</v>
      </c>
      <c r="H17" s="27" t="s">
        <v>195</v>
      </c>
      <c r="I17" s="1"/>
      <c r="J17" s="40">
        <v>9115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32.0249234143943</v>
      </c>
      <c r="H18" s="27" t="s">
        <v>195</v>
      </c>
      <c r="I18" s="1"/>
      <c r="J18" s="40">
        <v>33870.84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11.9895805756212</v>
      </c>
      <c r="H19" s="27" t="s">
        <v>195</v>
      </c>
      <c r="I19" s="1"/>
      <c r="J19" s="40">
        <v>12680.66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2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</row>
    <row r="22" ht="21.75" customHeight="1" spans="1:15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6122.66</v>
      </c>
      <c r="K22" s="44" t="s">
        <v>196</v>
      </c>
      <c r="L22" s="17"/>
      <c r="O22" t="s">
        <v>77</v>
      </c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0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0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2015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0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0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540</v>
      </c>
      <c r="E29" s="15"/>
      <c r="F29" s="15"/>
      <c r="G29" s="31"/>
      <c r="H29" s="15"/>
      <c r="I29" s="15"/>
      <c r="J29" s="45">
        <v>4543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0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9" t="s">
        <v>195</v>
      </c>
      <c r="I32" s="14"/>
      <c r="J32" s="42">
        <v>105764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f>J9/J3*100</f>
        <v>25.4599480808455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f>J32/J3*100</f>
        <v>16.9063345204831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f>J34-J35</f>
        <v>8.55361356036241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53510.38</v>
      </c>
      <c r="K37" s="43" t="s">
        <v>196</v>
      </c>
      <c r="L37" s="12"/>
    </row>
    <row r="38" ht="21.75" customHeight="1" spans="1:12">
      <c r="A38" s="1"/>
      <c r="B38" s="19" t="s">
        <v>541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4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3">
    <mergeCell ref="B2:K2"/>
    <mergeCell ref="F3:G3"/>
    <mergeCell ref="F4:G4"/>
  </mergeCells>
  <pageMargins left="0.7" right="0.7" top="0.787401575" bottom="0.7874015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499984740745262"/>
  </sheetPr>
  <dimension ref="A1:T65"/>
  <sheetViews>
    <sheetView zoomScale="115" zoomScaleNormal="115" workbookViewId="0">
      <selection activeCell="A1" sqref="A1"/>
    </sheetView>
  </sheetViews>
  <sheetFormatPr defaultColWidth="11.5" defaultRowHeight="14.4"/>
  <cols>
    <col min="1" max="1" width="3.33653846153846" style="156" customWidth="1"/>
    <col min="2" max="2" width="32.5" style="156" customWidth="1"/>
    <col min="3" max="3" width="10.5" style="156" customWidth="1"/>
    <col min="4" max="7" width="11.5" style="156" customWidth="1"/>
    <col min="8" max="8" width="14.8365384615385" style="156" customWidth="1"/>
    <col min="9" max="9" width="11.8365384615385" style="156" customWidth="1"/>
    <col min="10" max="10" width="13.1634615384615" style="156" customWidth="1"/>
    <col min="11" max="11" width="11.5" style="156"/>
    <col min="12" max="12" width="14" style="156" customWidth="1"/>
    <col min="13" max="13" width="14" style="157" customWidth="1"/>
    <col min="14" max="16384" width="11.5" style="156"/>
  </cols>
  <sheetData>
    <row r="1" ht="21.75" customHeight="1" spans="1:1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60"/>
      <c r="M1" s="160"/>
      <c r="N1" s="175"/>
      <c r="O1" s="175"/>
    </row>
    <row r="2" ht="30.75" customHeight="1" spans="1:13">
      <c r="A2" s="157"/>
      <c r="B2" s="49" t="s">
        <v>1017</v>
      </c>
      <c r="C2" s="50"/>
      <c r="D2" s="50"/>
      <c r="E2" s="50"/>
      <c r="F2" s="50"/>
      <c r="G2" s="50"/>
      <c r="H2" s="50"/>
      <c r="I2" s="50"/>
      <c r="J2" s="50"/>
      <c r="K2" s="50"/>
      <c r="L2" s="112"/>
      <c r="M2" s="176"/>
    </row>
    <row r="3" ht="15" customHeight="1" spans="1:13">
      <c r="A3" s="157"/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  <c r="M3" s="177"/>
    </row>
    <row r="4" ht="15" customHeight="1" spans="1:12">
      <c r="A4" s="157"/>
      <c r="B4" s="54" t="s">
        <v>2</v>
      </c>
      <c r="C4" s="56" t="s">
        <v>244</v>
      </c>
      <c r="D4" s="95"/>
      <c r="E4" s="95"/>
      <c r="F4" s="96"/>
      <c r="G4" s="96"/>
      <c r="H4" s="56"/>
      <c r="I4" s="56"/>
      <c r="J4" s="64"/>
      <c r="K4" s="64"/>
      <c r="L4" s="114"/>
    </row>
    <row r="5" ht="15" customHeight="1" spans="1:12">
      <c r="A5" s="157"/>
      <c r="B5" s="54" t="s">
        <v>4</v>
      </c>
      <c r="C5" s="55">
        <v>2011</v>
      </c>
      <c r="D5" s="95"/>
      <c r="E5" s="95"/>
      <c r="F5" s="96"/>
      <c r="G5" s="96"/>
      <c r="H5" s="56"/>
      <c r="I5" s="56"/>
      <c r="J5" s="64"/>
      <c r="K5" s="64"/>
      <c r="L5" s="114"/>
    </row>
    <row r="6" ht="15" customHeight="1" spans="1:12">
      <c r="A6" s="157"/>
      <c r="B6" s="57" t="s">
        <v>6</v>
      </c>
      <c r="C6" s="91" t="s">
        <v>1018</v>
      </c>
      <c r="D6" s="95"/>
      <c r="E6" s="56"/>
      <c r="F6" s="56"/>
      <c r="G6" s="56"/>
      <c r="H6" s="56"/>
      <c r="I6" s="56"/>
      <c r="J6" s="64"/>
      <c r="K6" s="64"/>
      <c r="L6" s="114"/>
    </row>
    <row r="7" ht="15" customHeight="1" spans="1:12">
      <c r="A7" s="157"/>
      <c r="B7" s="54" t="s">
        <v>230</v>
      </c>
      <c r="C7" s="55" t="s">
        <v>369</v>
      </c>
      <c r="D7" s="95"/>
      <c r="E7" s="56"/>
      <c r="F7" s="56"/>
      <c r="G7" s="56"/>
      <c r="H7" s="56"/>
      <c r="I7" s="56"/>
      <c r="J7" s="64"/>
      <c r="K7" s="64"/>
      <c r="L7" s="114"/>
    </row>
    <row r="8" ht="15" customHeight="1" spans="1:12">
      <c r="A8" s="157"/>
      <c r="B8" s="54" t="s">
        <v>231</v>
      </c>
      <c r="C8" s="58" t="s">
        <v>11</v>
      </c>
      <c r="D8" s="95"/>
      <c r="E8" s="56"/>
      <c r="F8" s="56"/>
      <c r="G8" s="56"/>
      <c r="H8" s="56"/>
      <c r="I8" s="56"/>
      <c r="J8" s="64"/>
      <c r="K8" s="64"/>
      <c r="L8" s="114"/>
    </row>
    <row r="9" ht="15" customHeight="1" spans="1:12">
      <c r="A9" s="157"/>
      <c r="B9" s="57" t="s">
        <v>12</v>
      </c>
      <c r="C9" s="55" t="s">
        <v>13</v>
      </c>
      <c r="D9" s="95"/>
      <c r="E9" s="56"/>
      <c r="F9" s="56"/>
      <c r="G9" s="56"/>
      <c r="H9" s="56"/>
      <c r="I9" s="56"/>
      <c r="J9" s="56"/>
      <c r="K9" s="56"/>
      <c r="L9" s="114"/>
    </row>
    <row r="10" ht="15" customHeight="1" spans="1:12">
      <c r="A10" s="157"/>
      <c r="B10" s="60" t="s">
        <v>232</v>
      </c>
      <c r="C10" s="55" t="s">
        <v>968</v>
      </c>
      <c r="D10" s="95"/>
      <c r="E10" s="56"/>
      <c r="F10" s="56"/>
      <c r="G10" s="56"/>
      <c r="H10" s="56"/>
      <c r="I10" s="56"/>
      <c r="J10" s="56"/>
      <c r="K10" s="56"/>
      <c r="L10" s="114"/>
    </row>
    <row r="11" ht="15" customHeight="1" spans="1:12">
      <c r="A11" s="157"/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5" customHeight="1" spans="1:12">
      <c r="A12" s="157"/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ht="15" customHeight="1" spans="1:12">
      <c r="A13" s="157"/>
      <c r="B13" s="66" t="s">
        <v>233</v>
      </c>
      <c r="C13" s="64"/>
      <c r="D13" s="67" t="s">
        <v>22</v>
      </c>
      <c r="E13" s="67"/>
      <c r="F13" s="67"/>
      <c r="G13" s="67"/>
      <c r="H13" s="97" t="s">
        <v>24</v>
      </c>
      <c r="I13" s="64"/>
      <c r="J13" s="56"/>
      <c r="K13" s="56" t="s">
        <v>25</v>
      </c>
      <c r="L13" s="118"/>
    </row>
    <row r="14" ht="15" customHeight="1" spans="1:13">
      <c r="A14" s="157"/>
      <c r="B14" s="66" t="s">
        <v>26</v>
      </c>
      <c r="C14" s="64"/>
      <c r="D14" s="68">
        <v>1</v>
      </c>
      <c r="E14" s="67"/>
      <c r="F14" s="68"/>
      <c r="G14" s="68"/>
      <c r="H14" s="64"/>
      <c r="I14" s="57" t="s">
        <v>27</v>
      </c>
      <c r="J14" s="64"/>
      <c r="K14" s="161">
        <v>9170</v>
      </c>
      <c r="L14" s="114" t="s">
        <v>28</v>
      </c>
      <c r="M14" s="178"/>
    </row>
    <row r="15" ht="15" customHeight="1" spans="1:13">
      <c r="A15" s="157"/>
      <c r="B15" s="66" t="s">
        <v>54</v>
      </c>
      <c r="C15" s="64" t="s">
        <v>55</v>
      </c>
      <c r="D15" s="69">
        <v>2700</v>
      </c>
      <c r="E15" s="67"/>
      <c r="F15" s="69"/>
      <c r="G15" s="69"/>
      <c r="H15" s="98">
        <f>SUM(D15:F15)</f>
        <v>2700</v>
      </c>
      <c r="I15" s="57" t="s">
        <v>27</v>
      </c>
      <c r="J15" s="64"/>
      <c r="K15" s="162">
        <f>K14/365</f>
        <v>25.1232876712329</v>
      </c>
      <c r="L15" s="114" t="s">
        <v>56</v>
      </c>
      <c r="M15" s="178"/>
    </row>
    <row r="16" ht="15" customHeight="1" spans="1:13">
      <c r="A16" s="157"/>
      <c r="B16" s="66" t="s">
        <v>234</v>
      </c>
      <c r="C16" s="64" t="s">
        <v>55</v>
      </c>
      <c r="D16" s="69">
        <v>2500</v>
      </c>
      <c r="E16" s="67"/>
      <c r="F16" s="69"/>
      <c r="G16" s="69"/>
      <c r="H16" s="98">
        <f>SUM(D16:F16)</f>
        <v>2500</v>
      </c>
      <c r="I16" s="56" t="s">
        <v>157</v>
      </c>
      <c r="J16" s="56"/>
      <c r="K16" s="163">
        <v>13.7430592401717</v>
      </c>
      <c r="L16" s="118" t="s">
        <v>59</v>
      </c>
      <c r="M16" s="178"/>
    </row>
    <row r="17" ht="15" customHeight="1" spans="1:13">
      <c r="A17" s="157"/>
      <c r="B17" s="57" t="s">
        <v>61</v>
      </c>
      <c r="C17" s="56" t="s">
        <v>62</v>
      </c>
      <c r="D17" s="70" t="s">
        <v>63</v>
      </c>
      <c r="E17" s="67"/>
      <c r="F17" s="70"/>
      <c r="G17" s="70"/>
      <c r="H17" s="98"/>
      <c r="I17" s="56" t="s">
        <v>58</v>
      </c>
      <c r="J17" s="56"/>
      <c r="K17" s="164">
        <v>44.8</v>
      </c>
      <c r="L17" s="118" t="s">
        <v>59</v>
      </c>
      <c r="M17" s="178"/>
    </row>
    <row r="18" ht="15" customHeight="1" spans="1:13">
      <c r="A18" s="157"/>
      <c r="B18" s="57" t="s">
        <v>66</v>
      </c>
      <c r="C18" s="56" t="s">
        <v>55</v>
      </c>
      <c r="D18" s="71">
        <v>1200</v>
      </c>
      <c r="E18" s="67"/>
      <c r="F18" s="71"/>
      <c r="G18" s="71"/>
      <c r="H18" s="98">
        <f>SUM(D18:F18)</f>
        <v>1200</v>
      </c>
      <c r="I18" s="56" t="s">
        <v>155</v>
      </c>
      <c r="J18" s="56"/>
      <c r="K18" s="164">
        <v>24.5</v>
      </c>
      <c r="L18" s="118" t="s">
        <v>59</v>
      </c>
      <c r="M18" s="178"/>
    </row>
    <row r="19" ht="15" customHeight="1" spans="1:13">
      <c r="A19" s="157"/>
      <c r="B19" s="57"/>
      <c r="C19" s="56"/>
      <c r="D19" s="70"/>
      <c r="E19" s="159"/>
      <c r="F19" s="70"/>
      <c r="G19" s="70"/>
      <c r="H19" s="100"/>
      <c r="I19" s="56" t="s">
        <v>155</v>
      </c>
      <c r="J19" s="56"/>
      <c r="K19" s="164">
        <v>10.782214910412</v>
      </c>
      <c r="L19" s="118" t="s">
        <v>59</v>
      </c>
      <c r="M19" s="178"/>
    </row>
    <row r="20" ht="15" customHeight="1" spans="1:13">
      <c r="A20" s="157"/>
      <c r="B20" s="72" t="s">
        <v>69</v>
      </c>
      <c r="C20" s="73"/>
      <c r="D20" s="74"/>
      <c r="E20" s="67"/>
      <c r="F20" s="74"/>
      <c r="G20" s="74"/>
      <c r="H20" s="101"/>
      <c r="I20" s="56" t="s">
        <v>158</v>
      </c>
      <c r="J20" s="56"/>
      <c r="K20" s="164">
        <v>6.24952923052783</v>
      </c>
      <c r="L20" s="118" t="s">
        <v>59</v>
      </c>
      <c r="M20" s="178"/>
    </row>
    <row r="21" ht="15" customHeight="1" spans="1:13">
      <c r="A21" s="157"/>
      <c r="B21" s="66" t="s">
        <v>71</v>
      </c>
      <c r="C21" s="64" t="s">
        <v>59</v>
      </c>
      <c r="D21" s="75">
        <v>10.7275454545455</v>
      </c>
      <c r="E21" s="67"/>
      <c r="F21" s="77"/>
      <c r="G21" s="77"/>
      <c r="H21" s="102"/>
      <c r="I21" s="56"/>
      <c r="J21" s="56"/>
      <c r="K21" s="164"/>
      <c r="L21" s="118"/>
      <c r="M21" s="178"/>
    </row>
    <row r="22" ht="15" customHeight="1" spans="1:13">
      <c r="A22" s="157"/>
      <c r="B22" s="66" t="s">
        <v>73</v>
      </c>
      <c r="C22" s="64" t="s">
        <v>59</v>
      </c>
      <c r="D22" s="75">
        <v>79.6783636363636</v>
      </c>
      <c r="E22" s="67"/>
      <c r="F22" s="77"/>
      <c r="G22" s="77"/>
      <c r="H22" s="78"/>
      <c r="I22" s="57"/>
      <c r="J22" s="56"/>
      <c r="K22" s="164"/>
      <c r="L22" s="118"/>
      <c r="M22" s="178"/>
    </row>
    <row r="23" ht="15" customHeight="1" spans="1:15">
      <c r="A23" s="157"/>
      <c r="B23" s="66" t="s">
        <v>74</v>
      </c>
      <c r="C23" s="76" t="s">
        <v>75</v>
      </c>
      <c r="D23" s="77"/>
      <c r="E23" s="67"/>
      <c r="F23" s="77"/>
      <c r="G23" s="78"/>
      <c r="H23" s="103" t="s">
        <v>1019</v>
      </c>
      <c r="I23" s="125" t="s">
        <v>76</v>
      </c>
      <c r="J23" s="56"/>
      <c r="K23" s="165"/>
      <c r="L23" s="118"/>
      <c r="M23" s="178"/>
      <c r="O23" s="156" t="s">
        <v>77</v>
      </c>
    </row>
    <row r="24" ht="15" customHeight="1" spans="1:13">
      <c r="A24" s="157"/>
      <c r="B24" s="66" t="s">
        <v>78</v>
      </c>
      <c r="C24" s="56" t="s">
        <v>79</v>
      </c>
      <c r="D24" s="77"/>
      <c r="E24" s="67"/>
      <c r="F24" s="77"/>
      <c r="G24" s="78"/>
      <c r="H24" s="104" t="s">
        <v>1020</v>
      </c>
      <c r="I24" s="127" t="s">
        <v>80</v>
      </c>
      <c r="J24" s="56"/>
      <c r="K24" s="163">
        <v>29</v>
      </c>
      <c r="L24" s="118" t="s">
        <v>59</v>
      </c>
      <c r="M24" s="178"/>
    </row>
    <row r="25" ht="15" customHeight="1" spans="1:14">
      <c r="A25" s="157"/>
      <c r="B25" s="57" t="s">
        <v>81</v>
      </c>
      <c r="C25" s="56" t="s">
        <v>59</v>
      </c>
      <c r="D25" s="77"/>
      <c r="E25" s="67"/>
      <c r="F25" s="77"/>
      <c r="G25" s="77"/>
      <c r="H25" s="104" t="s">
        <v>337</v>
      </c>
      <c r="I25" s="128" t="s">
        <v>83</v>
      </c>
      <c r="J25" s="56"/>
      <c r="K25" s="163">
        <v>93.9</v>
      </c>
      <c r="L25" s="118" t="s">
        <v>59</v>
      </c>
      <c r="M25" s="178"/>
      <c r="N25" s="179"/>
    </row>
    <row r="26" ht="15" customHeight="1" spans="1:14">
      <c r="A26" s="157"/>
      <c r="B26" s="57" t="s">
        <v>84</v>
      </c>
      <c r="C26" s="56" t="s">
        <v>59</v>
      </c>
      <c r="D26" s="78"/>
      <c r="E26" s="67"/>
      <c r="F26" s="78"/>
      <c r="G26" s="78"/>
      <c r="H26" s="105" t="s">
        <v>552</v>
      </c>
      <c r="I26" s="57" t="s">
        <v>86</v>
      </c>
      <c r="J26" s="56"/>
      <c r="K26" s="163">
        <v>76.9</v>
      </c>
      <c r="L26" s="118" t="s">
        <v>59</v>
      </c>
      <c r="M26" s="178"/>
      <c r="N26" s="179"/>
    </row>
    <row r="27" ht="15" customHeight="1" spans="1:14">
      <c r="A27" s="157"/>
      <c r="B27" s="57" t="s">
        <v>87</v>
      </c>
      <c r="C27" s="56" t="s">
        <v>88</v>
      </c>
      <c r="D27" s="78"/>
      <c r="E27" s="67"/>
      <c r="F27" s="78"/>
      <c r="G27" s="78"/>
      <c r="H27" s="103" t="s">
        <v>299</v>
      </c>
      <c r="I27" s="129"/>
      <c r="J27" s="130"/>
      <c r="K27" s="166"/>
      <c r="L27" s="167"/>
      <c r="N27" s="179"/>
    </row>
    <row r="28" ht="15" customHeight="1" spans="1:14">
      <c r="A28" s="157"/>
      <c r="B28" s="57" t="s">
        <v>90</v>
      </c>
      <c r="C28" s="56" t="s">
        <v>91</v>
      </c>
      <c r="D28" s="78"/>
      <c r="E28" s="67"/>
      <c r="F28" s="78"/>
      <c r="G28" s="78"/>
      <c r="H28" s="103" t="s">
        <v>267</v>
      </c>
      <c r="I28" s="63" t="s">
        <v>93</v>
      </c>
      <c r="J28" s="133"/>
      <c r="K28" s="64"/>
      <c r="L28" s="114"/>
      <c r="N28" s="179"/>
    </row>
    <row r="29" ht="15" customHeight="1" spans="1:12">
      <c r="A29" s="157"/>
      <c r="B29" s="66" t="s">
        <v>32</v>
      </c>
      <c r="C29" s="56" t="s">
        <v>62</v>
      </c>
      <c r="D29" s="75">
        <v>7.86772727272727</v>
      </c>
      <c r="E29" s="67"/>
      <c r="F29" s="75"/>
      <c r="G29" s="80"/>
      <c r="H29" s="78"/>
      <c r="I29" s="66" t="s">
        <v>26</v>
      </c>
      <c r="J29" s="64"/>
      <c r="K29" s="64">
        <v>1</v>
      </c>
      <c r="L29" s="114"/>
    </row>
    <row r="30" ht="15" customHeight="1" spans="1:12">
      <c r="A30" s="157"/>
      <c r="B30" s="66" t="s">
        <v>94</v>
      </c>
      <c r="C30" s="56" t="s">
        <v>95</v>
      </c>
      <c r="D30" s="77">
        <v>43.0497808219178</v>
      </c>
      <c r="E30" s="67"/>
      <c r="F30" s="77"/>
      <c r="G30" s="77"/>
      <c r="H30" s="78"/>
      <c r="I30" s="66" t="s">
        <v>96</v>
      </c>
      <c r="J30" s="92"/>
      <c r="K30" s="92">
        <v>4200</v>
      </c>
      <c r="L30" s="114" t="s">
        <v>55</v>
      </c>
    </row>
    <row r="31" ht="15" customHeight="1" spans="1:12">
      <c r="A31" s="157"/>
      <c r="B31" s="66" t="s">
        <v>97</v>
      </c>
      <c r="C31" s="64" t="s">
        <v>98</v>
      </c>
      <c r="D31" s="75">
        <v>2.6</v>
      </c>
      <c r="E31" s="67"/>
      <c r="F31" s="80"/>
      <c r="G31" s="80"/>
      <c r="H31" s="78"/>
      <c r="I31" s="66" t="s">
        <v>99</v>
      </c>
      <c r="J31" s="92"/>
      <c r="K31" s="92">
        <v>0</v>
      </c>
      <c r="L31" s="114" t="s">
        <v>55</v>
      </c>
    </row>
    <row r="32" ht="15" customHeight="1" spans="1:12">
      <c r="A32" s="157"/>
      <c r="B32" s="66" t="s">
        <v>100</v>
      </c>
      <c r="C32" s="64" t="s">
        <v>98</v>
      </c>
      <c r="D32" s="75">
        <v>5.3</v>
      </c>
      <c r="E32" s="67"/>
      <c r="F32" s="80"/>
      <c r="G32" s="80"/>
      <c r="H32" s="78"/>
      <c r="I32" s="66" t="s">
        <v>66</v>
      </c>
      <c r="J32" s="92"/>
      <c r="K32" s="92">
        <v>1800</v>
      </c>
      <c r="L32" s="114" t="s">
        <v>55</v>
      </c>
    </row>
    <row r="33" ht="15" customHeight="1" spans="1:12">
      <c r="A33" s="157"/>
      <c r="B33" s="66" t="s">
        <v>101</v>
      </c>
      <c r="C33" s="64" t="s">
        <v>102</v>
      </c>
      <c r="D33" s="77">
        <v>535</v>
      </c>
      <c r="E33" s="67"/>
      <c r="F33" s="80"/>
      <c r="G33" s="80"/>
      <c r="H33" s="78"/>
      <c r="I33" s="57" t="s">
        <v>103</v>
      </c>
      <c r="J33" s="64"/>
      <c r="K33" s="162" t="s">
        <v>1021</v>
      </c>
      <c r="L33" s="114" t="s">
        <v>59</v>
      </c>
    </row>
    <row r="34" ht="15" customHeight="1" spans="1:12">
      <c r="A34" s="157"/>
      <c r="B34" s="66" t="s">
        <v>104</v>
      </c>
      <c r="C34" s="64" t="s">
        <v>62</v>
      </c>
      <c r="D34" s="80">
        <v>0.276636363636364</v>
      </c>
      <c r="E34" s="67"/>
      <c r="F34" s="80"/>
      <c r="G34" s="80"/>
      <c r="H34" s="78"/>
      <c r="I34" s="66" t="s">
        <v>105</v>
      </c>
      <c r="J34" s="64"/>
      <c r="K34" s="168">
        <v>7.3546</v>
      </c>
      <c r="L34" s="114" t="s">
        <v>59</v>
      </c>
    </row>
    <row r="35" ht="15" customHeight="1" spans="1:12">
      <c r="A35" s="157"/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68">
        <v>77.638</v>
      </c>
      <c r="L35" s="114" t="s">
        <v>59</v>
      </c>
    </row>
    <row r="36" ht="15" customHeight="1" spans="1:12">
      <c r="A36" s="157"/>
      <c r="B36" s="81"/>
      <c r="C36" s="64"/>
      <c r="D36" s="64"/>
      <c r="E36" s="80"/>
      <c r="F36" s="78"/>
      <c r="G36" s="78"/>
      <c r="H36" s="78"/>
      <c r="I36" s="169" t="s">
        <v>641</v>
      </c>
      <c r="J36" s="170"/>
      <c r="K36" s="170"/>
      <c r="L36" s="171"/>
    </row>
    <row r="37" ht="15" customHeight="1" spans="1:14">
      <c r="A37" s="157"/>
      <c r="B37" s="51" t="s">
        <v>107</v>
      </c>
      <c r="C37" s="158"/>
      <c r="D37" s="83"/>
      <c r="E37" s="83"/>
      <c r="F37" s="83"/>
      <c r="G37" s="83"/>
      <c r="H37" s="106"/>
      <c r="I37" s="139" t="s">
        <v>108</v>
      </c>
      <c r="J37" s="140"/>
      <c r="K37" s="140"/>
      <c r="L37" s="152"/>
      <c r="N37"/>
    </row>
    <row r="38" ht="15" customHeight="1" spans="1:12">
      <c r="A38" s="157"/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78" t="s">
        <v>642</v>
      </c>
      <c r="L38" s="114"/>
    </row>
    <row r="39" ht="15" customHeight="1" spans="1:12">
      <c r="A39" s="157"/>
      <c r="B39" s="85"/>
      <c r="C39" s="78"/>
      <c r="D39" s="78"/>
      <c r="E39" s="78"/>
      <c r="F39" s="78"/>
      <c r="G39" s="78"/>
      <c r="H39" s="102"/>
      <c r="I39" s="125" t="s">
        <v>112</v>
      </c>
      <c r="J39" s="64"/>
      <c r="K39" s="64"/>
      <c r="L39" s="114"/>
    </row>
    <row r="40" ht="15" customHeight="1" spans="1:12">
      <c r="A40" s="157"/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72" t="s">
        <v>114</v>
      </c>
      <c r="L40" s="103">
        <v>52.5909090909091</v>
      </c>
    </row>
    <row r="41" ht="15" customHeight="1" spans="1:12">
      <c r="A41" s="157"/>
      <c r="B41" s="86"/>
      <c r="C41" s="77"/>
      <c r="D41" s="67" t="s">
        <v>115</v>
      </c>
      <c r="E41" s="67"/>
      <c r="F41" s="67"/>
      <c r="G41" s="67"/>
      <c r="H41" s="67"/>
      <c r="I41" s="66"/>
      <c r="J41" s="64" t="s">
        <v>113</v>
      </c>
      <c r="K41" s="78" t="s">
        <v>116</v>
      </c>
      <c r="L41" s="103">
        <v>47.6</v>
      </c>
    </row>
    <row r="42" ht="15" customHeight="1" spans="1:12">
      <c r="A42" s="157"/>
      <c r="B42" s="66" t="s">
        <v>118</v>
      </c>
      <c r="C42" s="64"/>
      <c r="D42" s="78" t="s">
        <v>119</v>
      </c>
      <c r="E42" s="78"/>
      <c r="F42" s="78"/>
      <c r="G42" s="78"/>
      <c r="H42" s="102"/>
      <c r="I42" s="66"/>
      <c r="J42" s="64" t="s">
        <v>113</v>
      </c>
      <c r="K42" s="78" t="s">
        <v>120</v>
      </c>
      <c r="L42" s="173">
        <v>0.318181818181818</v>
      </c>
    </row>
    <row r="43" ht="15" customHeight="1" spans="1:12">
      <c r="A43" s="157"/>
      <c r="B43" s="66" t="s">
        <v>121</v>
      </c>
      <c r="C43" s="64" t="s">
        <v>122</v>
      </c>
      <c r="D43" s="77">
        <v>400</v>
      </c>
      <c r="E43" s="77"/>
      <c r="F43" s="77"/>
      <c r="G43" s="78"/>
      <c r="H43" s="102"/>
      <c r="I43" s="66"/>
      <c r="J43" s="64" t="s">
        <v>123</v>
      </c>
      <c r="K43" s="172" t="s">
        <v>124</v>
      </c>
      <c r="L43" s="174">
        <v>59</v>
      </c>
    </row>
    <row r="44" ht="15" customHeight="1" spans="1:17">
      <c r="A44" s="157"/>
      <c r="B44" s="66" t="s">
        <v>125</v>
      </c>
      <c r="C44" s="64" t="s">
        <v>122</v>
      </c>
      <c r="D44" s="77">
        <f>D43/D45*D46</f>
        <v>431.552162849873</v>
      </c>
      <c r="E44" s="77"/>
      <c r="F44" s="77"/>
      <c r="G44" s="78"/>
      <c r="H44" s="102"/>
      <c r="I44" s="148" t="s">
        <v>126</v>
      </c>
      <c r="J44" s="64"/>
      <c r="K44" s="64"/>
      <c r="L44" s="114"/>
      <c r="Q44" s="156" t="s">
        <v>77</v>
      </c>
    </row>
    <row r="45" ht="15" customHeight="1" spans="1:19">
      <c r="A45" s="157"/>
      <c r="B45" s="66" t="s">
        <v>127</v>
      </c>
      <c r="C45" s="64" t="s">
        <v>59</v>
      </c>
      <c r="D45" s="75">
        <v>39.3</v>
      </c>
      <c r="E45" s="77"/>
      <c r="F45" s="77"/>
      <c r="G45" s="78"/>
      <c r="H45" s="102"/>
      <c r="I45" s="64"/>
      <c r="J45" s="64"/>
      <c r="K45" s="78" t="s">
        <v>128</v>
      </c>
      <c r="L45" s="102" t="s">
        <v>129</v>
      </c>
      <c r="M45" s="180"/>
      <c r="R45" s="182"/>
      <c r="S45" s="182"/>
    </row>
    <row r="46" ht="15" customHeight="1" spans="1:13">
      <c r="A46" s="157"/>
      <c r="B46" s="66" t="s">
        <v>130</v>
      </c>
      <c r="C46" s="64" t="s">
        <v>59</v>
      </c>
      <c r="D46" s="75">
        <v>42.4</v>
      </c>
      <c r="E46" s="77"/>
      <c r="F46" s="77"/>
      <c r="G46" s="78"/>
      <c r="H46" s="102"/>
      <c r="I46" s="66"/>
      <c r="J46" s="64" t="s">
        <v>131</v>
      </c>
      <c r="K46" s="77">
        <f>4810.20746797476/K15</f>
        <v>191.464092236727</v>
      </c>
      <c r="L46" s="174">
        <f>K46*L40/100</f>
        <v>100.692706689951</v>
      </c>
      <c r="M46" s="180"/>
    </row>
    <row r="47" ht="15" customHeight="1" spans="1:12">
      <c r="A47" s="157"/>
      <c r="B47" s="57" t="s">
        <v>132</v>
      </c>
      <c r="C47" s="56" t="s">
        <v>62</v>
      </c>
      <c r="D47" s="77" t="s">
        <v>133</v>
      </c>
      <c r="E47" s="77"/>
      <c r="F47" s="77"/>
      <c r="G47" s="78"/>
      <c r="H47" s="102"/>
      <c r="I47" s="66"/>
      <c r="J47" s="64" t="s">
        <v>134</v>
      </c>
      <c r="K47" s="77">
        <f>K46/K24*100/K25*100</f>
        <v>703.110764337436</v>
      </c>
      <c r="L47" s="174">
        <f>K47*L40/100</f>
        <v>369.772342881097</v>
      </c>
    </row>
    <row r="48" ht="15" customHeight="1" spans="1:13">
      <c r="A48" s="157"/>
      <c r="B48" s="66" t="s">
        <v>135</v>
      </c>
      <c r="C48" s="64" t="s">
        <v>240</v>
      </c>
      <c r="D48" s="69">
        <v>8683</v>
      </c>
      <c r="E48" s="77"/>
      <c r="F48" s="77"/>
      <c r="G48" s="78" t="s">
        <v>77</v>
      </c>
      <c r="H48" s="102"/>
      <c r="I48" s="148" t="s">
        <v>137</v>
      </c>
      <c r="J48" s="64"/>
      <c r="K48" s="64"/>
      <c r="L48" s="114"/>
      <c r="M48" s="181"/>
    </row>
    <row r="49" ht="15" customHeight="1" spans="1:12">
      <c r="A49" s="157"/>
      <c r="B49" s="57" t="s">
        <v>138</v>
      </c>
      <c r="C49" s="64" t="s">
        <v>240</v>
      </c>
      <c r="D49" s="69">
        <f>8760*D50/100</f>
        <v>8659.525</v>
      </c>
      <c r="E49" s="77"/>
      <c r="F49" s="77"/>
      <c r="G49" s="69"/>
      <c r="H49" s="98"/>
      <c r="I49" s="66"/>
      <c r="J49" s="64" t="s">
        <v>139</v>
      </c>
      <c r="K49" s="69">
        <v>9490</v>
      </c>
      <c r="L49" s="98"/>
    </row>
    <row r="50" ht="15" customHeight="1" spans="1:20">
      <c r="A50" s="157"/>
      <c r="B50" s="57" t="s">
        <v>140</v>
      </c>
      <c r="C50" s="64" t="s">
        <v>59</v>
      </c>
      <c r="D50" s="77">
        <f>3463810/365/24/D43*100</f>
        <v>98.8530251141552</v>
      </c>
      <c r="E50" s="77"/>
      <c r="F50" s="77"/>
      <c r="G50" s="78"/>
      <c r="H50" s="102"/>
      <c r="I50" s="66"/>
      <c r="J50" s="64" t="s">
        <v>141</v>
      </c>
      <c r="K50" s="69">
        <f>K49/K15</f>
        <v>377.737186477645</v>
      </c>
      <c r="L50" s="114"/>
      <c r="N50" s="179"/>
      <c r="R50" s="182"/>
      <c r="S50" s="182"/>
      <c r="T50" s="182"/>
    </row>
    <row r="51" ht="15" customHeight="1" spans="1:18">
      <c r="A51" s="157"/>
      <c r="B51" s="87"/>
      <c r="C51" s="64"/>
      <c r="D51" s="78"/>
      <c r="E51" s="78"/>
      <c r="F51" s="78"/>
      <c r="G51" s="78"/>
      <c r="H51" s="102"/>
      <c r="I51" s="65"/>
      <c r="J51" s="64"/>
      <c r="K51" s="78"/>
      <c r="L51" s="114"/>
      <c r="N51" s="179"/>
      <c r="R51" s="182"/>
    </row>
    <row r="52" ht="15" customHeight="1" spans="1:14">
      <c r="A52" s="157"/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  <c r="N52" s="179"/>
    </row>
    <row r="53" ht="15" customHeight="1" spans="1:14">
      <c r="A53" s="157"/>
      <c r="B53" s="90" t="s">
        <v>143</v>
      </c>
      <c r="C53" s="78"/>
      <c r="D53" s="64"/>
      <c r="E53" s="64"/>
      <c r="F53" s="64"/>
      <c r="G53" s="110" t="s">
        <v>144</v>
      </c>
      <c r="H53" s="64"/>
      <c r="I53" s="83"/>
      <c r="J53" s="140"/>
      <c r="K53" s="140"/>
      <c r="L53" s="152"/>
      <c r="N53" s="156" t="s">
        <v>77</v>
      </c>
    </row>
    <row r="54" ht="15" customHeight="1" spans="1:18">
      <c r="A54" s="157"/>
      <c r="B54" s="66"/>
      <c r="C54" s="91" t="s">
        <v>145</v>
      </c>
      <c r="D54" s="92"/>
      <c r="E54" s="92"/>
      <c r="F54" s="64"/>
      <c r="G54" s="64"/>
      <c r="H54" s="64"/>
      <c r="I54" s="78" t="s">
        <v>145</v>
      </c>
      <c r="J54" s="64"/>
      <c r="K54" s="64"/>
      <c r="L54" s="114"/>
      <c r="R54" s="183"/>
    </row>
    <row r="55" ht="15" customHeight="1" spans="1:12">
      <c r="A55" s="157"/>
      <c r="B55" s="66" t="s">
        <v>146</v>
      </c>
      <c r="C55" s="93">
        <v>310245</v>
      </c>
      <c r="D55" s="69">
        <f>C55/K49/365*100</f>
        <v>8.95665227997748</v>
      </c>
      <c r="E55" s="111" t="s">
        <v>147</v>
      </c>
      <c r="F55" s="64"/>
      <c r="G55" s="64" t="s">
        <v>148</v>
      </c>
      <c r="H55" s="64"/>
      <c r="I55" s="69">
        <v>367164</v>
      </c>
      <c r="J55" s="69">
        <v>10</v>
      </c>
      <c r="K55" s="111" t="s">
        <v>149</v>
      </c>
      <c r="L55" s="114"/>
    </row>
    <row r="56" ht="15" customHeight="1" spans="1:12">
      <c r="A56" s="157"/>
      <c r="B56" s="66" t="s">
        <v>430</v>
      </c>
      <c r="C56" s="93">
        <v>135089</v>
      </c>
      <c r="D56" s="69">
        <v>3.9</v>
      </c>
      <c r="E56" s="111" t="s">
        <v>147</v>
      </c>
      <c r="F56" s="64"/>
      <c r="G56" s="64"/>
      <c r="H56" s="64"/>
      <c r="I56" s="69"/>
      <c r="J56" s="69"/>
      <c r="K56" s="111"/>
      <c r="L56" s="114"/>
    </row>
    <row r="57" ht="15" customHeight="1" spans="1:12">
      <c r="A57" s="157"/>
      <c r="B57" s="66" t="s">
        <v>431</v>
      </c>
      <c r="C57" s="93">
        <v>175156</v>
      </c>
      <c r="D57" s="69">
        <v>5.1</v>
      </c>
      <c r="E57" s="111" t="s">
        <v>147</v>
      </c>
      <c r="F57" s="64"/>
      <c r="G57" s="64"/>
      <c r="H57" s="64"/>
      <c r="I57" s="69"/>
      <c r="J57" s="69"/>
      <c r="K57" s="111"/>
      <c r="L57" s="114"/>
    </row>
    <row r="58" ht="15" customHeight="1" spans="1:12">
      <c r="A58" s="157"/>
      <c r="B58" s="81"/>
      <c r="C58" s="94"/>
      <c r="D58" s="89"/>
      <c r="E58" s="94"/>
      <c r="F58" s="94"/>
      <c r="G58" s="94"/>
      <c r="H58" s="94"/>
      <c r="I58" s="89"/>
      <c r="J58" s="89"/>
      <c r="K58" s="153"/>
      <c r="L58" s="115"/>
    </row>
    <row r="59" spans="1:1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</row>
    <row r="60" spans="1:1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</row>
    <row r="61" ht="16.8" spans="1:8">
      <c r="A61" s="157"/>
      <c r="G61"/>
      <c r="H61"/>
    </row>
    <row r="62" ht="16.8" spans="7:8">
      <c r="G62"/>
      <c r="H62"/>
    </row>
    <row r="65" spans="9:9">
      <c r="I65" s="156" t="s">
        <v>77</v>
      </c>
    </row>
  </sheetData>
  <mergeCells count="2">
    <mergeCell ref="B2:L2"/>
    <mergeCell ref="I36:L36"/>
  </mergeCells>
  <pageMargins left="0.7" right="0.7" top="0.787401575" bottom="0.7874015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499984740745262"/>
  </sheetPr>
  <dimension ref="K4:W52"/>
  <sheetViews>
    <sheetView zoomScale="85" zoomScaleNormal="85" workbookViewId="0">
      <selection activeCell="A1" sqref="A1"/>
    </sheetView>
  </sheetViews>
  <sheetFormatPr defaultColWidth="11.5" defaultRowHeight="16.8"/>
  <cols>
    <col min="12" max="18" width="4.5" customWidth="1"/>
    <col min="19" max="19" width="4" customWidth="1"/>
    <col min="20" max="20" width="3.5" customWidth="1"/>
    <col min="21" max="21" width="4.5" customWidth="1"/>
    <col min="22" max="22" width="4.33653846153846" customWidth="1"/>
    <col min="23" max="23" width="4.16346153846154" customWidth="1"/>
  </cols>
  <sheetData>
    <row r="4" spans="12:23">
      <c r="L4" t="s">
        <v>167</v>
      </c>
      <c r="M4" t="s">
        <v>168</v>
      </c>
      <c r="N4" t="s">
        <v>169</v>
      </c>
      <c r="O4" t="s">
        <v>170</v>
      </c>
      <c r="P4" t="s">
        <v>171</v>
      </c>
      <c r="Q4" t="s">
        <v>172</v>
      </c>
      <c r="R4" t="s">
        <v>173</v>
      </c>
      <c r="S4" t="s">
        <v>174</v>
      </c>
      <c r="T4" t="s">
        <v>175</v>
      </c>
      <c r="U4" t="s">
        <v>176</v>
      </c>
      <c r="V4" t="s">
        <v>177</v>
      </c>
      <c r="W4" t="s">
        <v>166</v>
      </c>
    </row>
    <row r="5" spans="11:23">
      <c r="K5" t="s">
        <v>58</v>
      </c>
      <c r="L5" s="155">
        <v>64.68475432</v>
      </c>
      <c r="M5" s="155">
        <v>64.60947231</v>
      </c>
      <c r="N5" s="155">
        <v>64.79663204</v>
      </c>
      <c r="O5" s="155">
        <v>64.78272574</v>
      </c>
      <c r="P5" s="155">
        <v>46.44427922</v>
      </c>
      <c r="Q5" s="155">
        <v>45.7832546</v>
      </c>
      <c r="R5" s="155">
        <v>31.08859566</v>
      </c>
      <c r="S5">
        <v>29</v>
      </c>
      <c r="T5">
        <v>30</v>
      </c>
      <c r="U5">
        <v>32</v>
      </c>
      <c r="V5">
        <v>33</v>
      </c>
      <c r="W5">
        <v>34</v>
      </c>
    </row>
    <row r="6" spans="11:23">
      <c r="K6" t="s">
        <v>157</v>
      </c>
      <c r="L6" s="155">
        <v>0</v>
      </c>
      <c r="M6" s="155">
        <v>0</v>
      </c>
      <c r="N6" s="155">
        <v>0</v>
      </c>
      <c r="O6" s="155">
        <v>0</v>
      </c>
      <c r="P6" s="155">
        <v>12.79126917</v>
      </c>
      <c r="Q6" s="155">
        <v>13.29804076</v>
      </c>
      <c r="R6" s="155">
        <v>22.91470311</v>
      </c>
      <c r="S6">
        <v>24</v>
      </c>
      <c r="T6">
        <v>24</v>
      </c>
      <c r="U6">
        <v>22</v>
      </c>
      <c r="V6">
        <v>21</v>
      </c>
      <c r="W6">
        <v>22</v>
      </c>
    </row>
    <row r="7" spans="11:23">
      <c r="K7" t="s">
        <v>155</v>
      </c>
      <c r="L7" s="155">
        <v>0</v>
      </c>
      <c r="M7" s="155">
        <v>25.07822706</v>
      </c>
      <c r="N7" s="155">
        <v>22.72017383</v>
      </c>
      <c r="O7" s="155">
        <v>14.06934074</v>
      </c>
      <c r="P7" s="155">
        <v>8.884576124</v>
      </c>
      <c r="Q7" s="155">
        <v>10.84106942</v>
      </c>
      <c r="R7" s="155">
        <v>13.03016023</v>
      </c>
      <c r="S7">
        <v>16</v>
      </c>
      <c r="T7">
        <v>12</v>
      </c>
      <c r="U7">
        <v>0</v>
      </c>
      <c r="V7">
        <v>10</v>
      </c>
      <c r="W7">
        <v>0</v>
      </c>
    </row>
    <row r="8" spans="11:23">
      <c r="K8" t="s">
        <v>155</v>
      </c>
      <c r="L8" s="155">
        <v>35.31524568</v>
      </c>
      <c r="M8" s="155">
        <v>10.31230063</v>
      </c>
      <c r="N8" s="155">
        <v>12.48319413</v>
      </c>
      <c r="O8" s="155">
        <v>21.14793352</v>
      </c>
      <c r="P8" s="155">
        <v>26.39790299</v>
      </c>
      <c r="Q8" s="155">
        <v>24.3784749</v>
      </c>
      <c r="R8" s="155">
        <v>22.1866164</v>
      </c>
      <c r="S8">
        <v>19</v>
      </c>
      <c r="T8">
        <v>24</v>
      </c>
      <c r="U8">
        <v>35</v>
      </c>
      <c r="V8">
        <v>25</v>
      </c>
      <c r="W8">
        <v>35</v>
      </c>
    </row>
    <row r="9" spans="11:23">
      <c r="K9" t="s">
        <v>67</v>
      </c>
      <c r="L9" s="155">
        <v>0</v>
      </c>
      <c r="M9" s="155">
        <v>0</v>
      </c>
      <c r="N9" s="155">
        <v>0</v>
      </c>
      <c r="O9" s="155">
        <v>0</v>
      </c>
      <c r="P9" s="155">
        <v>5.481972502</v>
      </c>
      <c r="Q9" s="155">
        <v>5.699160324</v>
      </c>
      <c r="R9" s="155">
        <v>10.7799246</v>
      </c>
      <c r="S9">
        <v>11</v>
      </c>
      <c r="T9">
        <v>11</v>
      </c>
      <c r="U9">
        <v>10</v>
      </c>
      <c r="V9">
        <v>10</v>
      </c>
      <c r="W9">
        <v>9</v>
      </c>
    </row>
    <row r="10" spans="11:23">
      <c r="K10" t="s">
        <v>646</v>
      </c>
      <c r="L10" s="155">
        <v>29.32633333</v>
      </c>
      <c r="M10" s="155">
        <v>21.23677419</v>
      </c>
      <c r="N10" s="155">
        <v>23.75322581</v>
      </c>
      <c r="O10" s="155">
        <v>25.20678571</v>
      </c>
      <c r="P10" s="155">
        <v>25.59709677</v>
      </c>
      <c r="Q10" s="155">
        <v>26.31966667</v>
      </c>
      <c r="R10" s="155">
        <v>27.38064516</v>
      </c>
      <c r="S10">
        <v>26</v>
      </c>
      <c r="T10">
        <v>26</v>
      </c>
      <c r="U10">
        <v>25</v>
      </c>
      <c r="V10">
        <v>23</v>
      </c>
      <c r="W10">
        <v>23</v>
      </c>
    </row>
    <row r="24" spans="12:12">
      <c r="L24" t="s">
        <v>104</v>
      </c>
    </row>
    <row r="25" spans="11:12">
      <c r="K25" t="s">
        <v>167</v>
      </c>
      <c r="L25">
        <v>0.338</v>
      </c>
    </row>
    <row r="26" spans="11:12">
      <c r="K26" t="s">
        <v>168</v>
      </c>
      <c r="L26">
        <v>0.3</v>
      </c>
    </row>
    <row r="27" spans="11:12">
      <c r="K27" t="s">
        <v>169</v>
      </c>
      <c r="L27">
        <v>0.306</v>
      </c>
    </row>
    <row r="28" spans="11:12">
      <c r="K28" t="s">
        <v>170</v>
      </c>
      <c r="L28">
        <v>0.36</v>
      </c>
    </row>
    <row r="29" spans="11:12">
      <c r="K29" t="s">
        <v>171</v>
      </c>
      <c r="L29">
        <v>0.24</v>
      </c>
    </row>
    <row r="30" spans="11:12">
      <c r="K30" t="s">
        <v>172</v>
      </c>
      <c r="L30">
        <v>0.24</v>
      </c>
    </row>
    <row r="31" spans="11:12">
      <c r="K31" t="s">
        <v>173</v>
      </c>
      <c r="L31">
        <v>0.27</v>
      </c>
    </row>
    <row r="32" spans="11:12">
      <c r="K32" t="s">
        <v>174</v>
      </c>
      <c r="L32">
        <v>0.24</v>
      </c>
    </row>
    <row r="33" spans="11:12">
      <c r="K33" t="s">
        <v>175</v>
      </c>
      <c r="L33">
        <v>0.26</v>
      </c>
    </row>
    <row r="34" spans="11:12">
      <c r="K34" t="s">
        <v>176</v>
      </c>
      <c r="L34">
        <v>0.24</v>
      </c>
    </row>
    <row r="35" spans="11:11">
      <c r="K35" t="s">
        <v>177</v>
      </c>
    </row>
    <row r="36" spans="11:12">
      <c r="K36" t="s">
        <v>166</v>
      </c>
      <c r="L36">
        <v>0.25</v>
      </c>
    </row>
    <row r="40" spans="12:12">
      <c r="L40" t="s">
        <v>183</v>
      </c>
    </row>
    <row r="41" spans="11:12">
      <c r="K41" t="s">
        <v>167</v>
      </c>
      <c r="L41">
        <v>99.4</v>
      </c>
    </row>
    <row r="42" spans="11:12">
      <c r="K42" t="s">
        <v>168</v>
      </c>
      <c r="L42">
        <v>100.5</v>
      </c>
    </row>
    <row r="43" spans="11:12">
      <c r="K43" t="s">
        <v>169</v>
      </c>
      <c r="L43">
        <v>99.9</v>
      </c>
    </row>
    <row r="44" spans="11:12">
      <c r="K44" t="s">
        <v>170</v>
      </c>
      <c r="L44">
        <v>100.2</v>
      </c>
    </row>
    <row r="45" spans="11:12">
      <c r="K45" t="s">
        <v>171</v>
      </c>
      <c r="L45">
        <v>98.4</v>
      </c>
    </row>
    <row r="46" spans="11:12">
      <c r="K46" t="s">
        <v>172</v>
      </c>
      <c r="L46">
        <v>99.6</v>
      </c>
    </row>
    <row r="47" spans="11:12">
      <c r="K47" t="s">
        <v>173</v>
      </c>
      <c r="L47">
        <v>98.5</v>
      </c>
    </row>
    <row r="48" spans="11:12">
      <c r="K48" t="s">
        <v>174</v>
      </c>
      <c r="L48">
        <v>96.4</v>
      </c>
    </row>
    <row r="49" spans="11:12">
      <c r="K49" t="s">
        <v>175</v>
      </c>
      <c r="L49">
        <v>95.8</v>
      </c>
    </row>
    <row r="50" spans="11:12">
      <c r="K50" t="s">
        <v>176</v>
      </c>
      <c r="L50">
        <v>97.2</v>
      </c>
    </row>
    <row r="51" spans="11:12">
      <c r="K51" t="s">
        <v>177</v>
      </c>
      <c r="L51">
        <v>98.9</v>
      </c>
    </row>
    <row r="52" spans="11:12">
      <c r="K52" t="s">
        <v>166</v>
      </c>
      <c r="L52">
        <v>101.5</v>
      </c>
    </row>
  </sheetData>
  <pageMargins left="0.7" right="0.7" top="0.787401575" bottom="0.787401575" header="0.3" footer="0.3"/>
  <headerFooter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2:N62"/>
  <sheetViews>
    <sheetView zoomScale="115" zoomScaleNormal="115" workbookViewId="0">
      <selection activeCell="A1" sqref="A1"/>
    </sheetView>
  </sheetViews>
  <sheetFormatPr defaultColWidth="11.5" defaultRowHeight="16.8"/>
  <cols>
    <col min="2" max="2" width="27.5" customWidth="1"/>
    <col min="8" max="8" width="15" customWidth="1"/>
    <col min="10" max="10" width="13.3365384615385" customWidth="1"/>
  </cols>
  <sheetData>
    <row r="2" ht="26.25" customHeight="1" spans="2:12">
      <c r="B2" s="49" t="s">
        <v>1022</v>
      </c>
      <c r="C2" s="50"/>
      <c r="D2" s="50"/>
      <c r="E2" s="50"/>
      <c r="F2" s="50"/>
      <c r="G2" s="50"/>
      <c r="H2" s="50"/>
      <c r="I2" s="50"/>
      <c r="J2" s="50"/>
      <c r="K2" s="50"/>
      <c r="L2" s="112"/>
    </row>
    <row r="3" ht="17.6" spans="2:12">
      <c r="B3" s="51" t="s">
        <v>1</v>
      </c>
      <c r="C3" s="52"/>
      <c r="D3" s="53"/>
      <c r="E3" s="52"/>
      <c r="F3" s="52"/>
      <c r="G3" s="52"/>
      <c r="H3" s="53"/>
      <c r="I3" s="53"/>
      <c r="J3" s="52"/>
      <c r="K3" s="53"/>
      <c r="L3" s="113"/>
    </row>
    <row r="4" spans="2:12">
      <c r="B4" s="54" t="s">
        <v>2</v>
      </c>
      <c r="C4" s="55" t="s">
        <v>1023</v>
      </c>
      <c r="D4" s="56"/>
      <c r="E4" s="95"/>
      <c r="F4" s="96"/>
      <c r="G4" s="96"/>
      <c r="H4" s="56"/>
      <c r="I4" s="56"/>
      <c r="J4" s="64"/>
      <c r="K4" s="64"/>
      <c r="L4" s="114"/>
    </row>
    <row r="5" spans="2:12">
      <c r="B5" s="54" t="s">
        <v>4</v>
      </c>
      <c r="C5" s="55">
        <v>2011</v>
      </c>
      <c r="D5" s="56"/>
      <c r="E5" s="95"/>
      <c r="F5" s="96"/>
      <c r="G5" s="96"/>
      <c r="H5" s="56"/>
      <c r="I5" s="56"/>
      <c r="J5" s="64"/>
      <c r="K5" s="64"/>
      <c r="L5" s="114"/>
    </row>
    <row r="6" spans="2:12">
      <c r="B6" s="57" t="s">
        <v>6</v>
      </c>
      <c r="C6" s="55" t="s">
        <v>809</v>
      </c>
      <c r="D6" s="56"/>
      <c r="E6" s="56"/>
      <c r="F6" s="56"/>
      <c r="G6" s="56"/>
      <c r="H6" s="56"/>
      <c r="I6" s="56"/>
      <c r="J6" s="64"/>
      <c r="K6" s="64"/>
      <c r="L6" s="114"/>
    </row>
    <row r="7" spans="2:12">
      <c r="B7" s="54" t="s">
        <v>230</v>
      </c>
      <c r="C7" s="58" t="s">
        <v>369</v>
      </c>
      <c r="D7" s="56"/>
      <c r="E7" s="56"/>
      <c r="F7" s="56"/>
      <c r="G7" s="56"/>
      <c r="H7" s="56"/>
      <c r="I7" s="56"/>
      <c r="J7" s="64"/>
      <c r="K7" s="64"/>
      <c r="L7" s="114"/>
    </row>
    <row r="8" spans="2:12">
      <c r="B8" s="54" t="s">
        <v>231</v>
      </c>
      <c r="C8" s="59" t="s">
        <v>757</v>
      </c>
      <c r="D8" s="56"/>
      <c r="E8" s="56"/>
      <c r="F8" s="56"/>
      <c r="G8" s="56"/>
      <c r="H8" s="56"/>
      <c r="I8" s="56"/>
      <c r="J8" s="64"/>
      <c r="K8" s="64"/>
      <c r="L8" s="114"/>
    </row>
    <row r="9" spans="2:12">
      <c r="B9" s="57" t="s">
        <v>12</v>
      </c>
      <c r="C9" s="55" t="s">
        <v>13</v>
      </c>
      <c r="D9" s="56"/>
      <c r="E9" s="56"/>
      <c r="F9" s="56"/>
      <c r="G9" s="56"/>
      <c r="H9" s="56"/>
      <c r="I9" s="56"/>
      <c r="J9" s="56"/>
      <c r="K9" s="56"/>
      <c r="L9" s="114"/>
    </row>
    <row r="10" spans="2:12">
      <c r="B10" s="60" t="s">
        <v>232</v>
      </c>
      <c r="C10" s="55" t="s">
        <v>603</v>
      </c>
      <c r="D10" s="56"/>
      <c r="E10" s="56"/>
      <c r="F10" s="56"/>
      <c r="G10" s="56"/>
      <c r="H10" s="56"/>
      <c r="I10" s="56"/>
      <c r="J10" s="56"/>
      <c r="K10" s="56"/>
      <c r="L10" s="114"/>
    </row>
    <row r="11" spans="2:12">
      <c r="B11" s="61"/>
      <c r="C11" s="62"/>
      <c r="D11" s="62"/>
      <c r="E11" s="62"/>
      <c r="F11" s="62"/>
      <c r="G11" s="62"/>
      <c r="H11" s="62"/>
      <c r="I11" s="62"/>
      <c r="J11" s="62"/>
      <c r="K11" s="62"/>
      <c r="L11" s="115"/>
    </row>
    <row r="12" ht="17.6" spans="2:12">
      <c r="B12" s="63" t="s">
        <v>19</v>
      </c>
      <c r="C12" s="64"/>
      <c r="D12" s="65"/>
      <c r="E12" s="65"/>
      <c r="F12" s="65"/>
      <c r="G12" s="65"/>
      <c r="H12" s="97"/>
      <c r="I12" s="116" t="s">
        <v>20</v>
      </c>
      <c r="J12" s="117"/>
      <c r="K12" s="64"/>
      <c r="L12" s="114"/>
    </row>
    <row r="13" spans="2:12">
      <c r="B13" s="66" t="s">
        <v>233</v>
      </c>
      <c r="C13" s="64"/>
      <c r="D13" s="67" t="s">
        <v>22</v>
      </c>
      <c r="E13" s="67" t="s">
        <v>23</v>
      </c>
      <c r="F13" s="78"/>
      <c r="G13" s="67"/>
      <c r="H13" s="97" t="s">
        <v>24</v>
      </c>
      <c r="I13" s="64"/>
      <c r="J13" s="56"/>
      <c r="K13" s="56" t="s">
        <v>25</v>
      </c>
      <c r="L13" s="118"/>
    </row>
    <row r="14" spans="2:12">
      <c r="B14" s="66" t="s">
        <v>26</v>
      </c>
      <c r="C14" s="64"/>
      <c r="D14" s="68">
        <v>3</v>
      </c>
      <c r="E14" s="68">
        <v>2</v>
      </c>
      <c r="F14" s="78"/>
      <c r="G14" s="68"/>
      <c r="H14" s="64"/>
      <c r="I14" s="57" t="s">
        <v>248</v>
      </c>
      <c r="J14" s="64"/>
      <c r="K14" s="119">
        <v>35913.6292903226</v>
      </c>
      <c r="L14" s="120" t="s">
        <v>28</v>
      </c>
    </row>
    <row r="15" spans="2:12">
      <c r="B15" s="66" t="s">
        <v>54</v>
      </c>
      <c r="C15" s="64" t="s">
        <v>55</v>
      </c>
      <c r="D15" s="69">
        <v>1880</v>
      </c>
      <c r="E15" s="69">
        <v>1880</v>
      </c>
      <c r="F15" s="78"/>
      <c r="G15" s="69"/>
      <c r="H15" s="98">
        <f>D14*D15+E14*E15</f>
        <v>9400</v>
      </c>
      <c r="I15" s="57" t="s">
        <v>249</v>
      </c>
      <c r="J15" s="64"/>
      <c r="K15" s="121">
        <v>98.3935049049934</v>
      </c>
      <c r="L15" s="120" t="s">
        <v>56</v>
      </c>
    </row>
    <row r="16" spans="2:12">
      <c r="B16" s="66" t="s">
        <v>234</v>
      </c>
      <c r="C16" s="64" t="s">
        <v>55</v>
      </c>
      <c r="D16" s="69">
        <v>1711</v>
      </c>
      <c r="E16" s="69">
        <v>1711</v>
      </c>
      <c r="F16" s="78"/>
      <c r="G16" s="69"/>
      <c r="H16" s="98">
        <f>D14*D16+E14*E16</f>
        <v>8555</v>
      </c>
      <c r="I16" s="56" t="s">
        <v>157</v>
      </c>
      <c r="J16" s="56"/>
      <c r="K16" s="122">
        <v>14.2660432856353</v>
      </c>
      <c r="L16" s="123" t="s">
        <v>59</v>
      </c>
    </row>
    <row r="17" spans="2:12">
      <c r="B17" s="57" t="s">
        <v>61</v>
      </c>
      <c r="C17" s="56" t="s">
        <v>62</v>
      </c>
      <c r="D17" s="70" t="s">
        <v>63</v>
      </c>
      <c r="E17" s="70" t="s">
        <v>63</v>
      </c>
      <c r="F17" s="78"/>
      <c r="G17" s="70"/>
      <c r="H17" s="98"/>
      <c r="I17" s="56" t="s">
        <v>58</v>
      </c>
      <c r="J17" s="56"/>
      <c r="K17" s="124">
        <v>57.130101455741</v>
      </c>
      <c r="L17" s="123" t="s">
        <v>59</v>
      </c>
    </row>
    <row r="18" spans="2:12">
      <c r="B18" s="57" t="s">
        <v>66</v>
      </c>
      <c r="C18" s="56" t="s">
        <v>55</v>
      </c>
      <c r="D18" s="71">
        <v>0</v>
      </c>
      <c r="E18" s="71">
        <v>0</v>
      </c>
      <c r="F18" s="78"/>
      <c r="G18" s="71"/>
      <c r="H18" s="98"/>
      <c r="I18" s="56" t="s">
        <v>155</v>
      </c>
      <c r="J18" s="56"/>
      <c r="K18" s="124">
        <v>5.08163623689175</v>
      </c>
      <c r="L18" s="123" t="s">
        <v>59</v>
      </c>
    </row>
    <row r="19" spans="2:12">
      <c r="B19" s="57"/>
      <c r="C19" s="56"/>
      <c r="D19" s="70"/>
      <c r="E19" s="70"/>
      <c r="F19" s="99"/>
      <c r="G19" s="70"/>
      <c r="H19" s="100"/>
      <c r="I19" s="56" t="s">
        <v>158</v>
      </c>
      <c r="J19" s="56"/>
      <c r="K19" s="124">
        <v>23.7987149137921</v>
      </c>
      <c r="L19" s="123" t="s">
        <v>59</v>
      </c>
    </row>
    <row r="20" ht="17.6" spans="2:12">
      <c r="B20" s="72" t="s">
        <v>69</v>
      </c>
      <c r="C20" s="73"/>
      <c r="D20" s="74"/>
      <c r="E20" s="74"/>
      <c r="F20" s="78"/>
      <c r="G20" s="74"/>
      <c r="H20" s="101"/>
      <c r="I20" s="56"/>
      <c r="J20" s="56"/>
      <c r="K20" s="124"/>
      <c r="L20" s="123"/>
    </row>
    <row r="21" spans="2:13">
      <c r="B21" s="66" t="s">
        <v>71</v>
      </c>
      <c r="C21" s="64" t="s">
        <v>59</v>
      </c>
      <c r="D21" s="75">
        <v>10.5588769625834</v>
      </c>
      <c r="E21" s="75">
        <v>8.3898725236639</v>
      </c>
      <c r="F21" s="78"/>
      <c r="G21" s="77"/>
      <c r="H21" s="102"/>
      <c r="I21" s="56"/>
      <c r="J21" s="56"/>
      <c r="K21" s="124"/>
      <c r="L21" s="123"/>
      <c r="M21" t="s">
        <v>77</v>
      </c>
    </row>
    <row r="22" spans="2:12">
      <c r="B22" s="66" t="s">
        <v>73</v>
      </c>
      <c r="C22" s="64" t="s">
        <v>59</v>
      </c>
      <c r="D22" s="75">
        <v>80.7147323049287</v>
      </c>
      <c r="E22" s="75">
        <v>76.4377942078661</v>
      </c>
      <c r="F22" s="78"/>
      <c r="G22" s="77"/>
      <c r="H22" s="78"/>
      <c r="I22" s="57"/>
      <c r="J22" s="56"/>
      <c r="K22" s="124"/>
      <c r="L22" s="123"/>
    </row>
    <row r="23" ht="18" spans="2:12">
      <c r="B23" s="66" t="s">
        <v>74</v>
      </c>
      <c r="C23" s="76" t="s">
        <v>75</v>
      </c>
      <c r="D23" s="77"/>
      <c r="E23" s="77"/>
      <c r="F23" s="78"/>
      <c r="G23" s="78"/>
      <c r="H23" s="103" t="s">
        <v>1024</v>
      </c>
      <c r="I23" s="125" t="s">
        <v>76</v>
      </c>
      <c r="J23" s="56"/>
      <c r="K23" s="126"/>
      <c r="L23" s="123"/>
    </row>
    <row r="24" ht="18" spans="2:12">
      <c r="B24" s="66" t="s">
        <v>78</v>
      </c>
      <c r="C24" s="56" t="s">
        <v>79</v>
      </c>
      <c r="D24" s="77"/>
      <c r="E24" s="77"/>
      <c r="F24" s="78"/>
      <c r="G24" s="78"/>
      <c r="H24" s="104" t="s">
        <v>735</v>
      </c>
      <c r="I24" s="127" t="s">
        <v>80</v>
      </c>
      <c r="J24" s="56"/>
      <c r="K24" s="122">
        <v>34.6771495025809</v>
      </c>
      <c r="L24" s="123" t="s">
        <v>59</v>
      </c>
    </row>
    <row r="25" ht="18" spans="2:12">
      <c r="B25" s="57" t="s">
        <v>81</v>
      </c>
      <c r="C25" s="56" t="s">
        <v>59</v>
      </c>
      <c r="D25" s="77"/>
      <c r="E25" s="77"/>
      <c r="F25" s="78"/>
      <c r="G25" s="77"/>
      <c r="H25" s="104" t="s">
        <v>702</v>
      </c>
      <c r="I25" s="128" t="s">
        <v>83</v>
      </c>
      <c r="J25" s="56"/>
      <c r="K25" s="122">
        <v>93.8382834793722</v>
      </c>
      <c r="L25" s="123" t="s">
        <v>59</v>
      </c>
    </row>
    <row r="26" ht="18" spans="2:12">
      <c r="B26" s="57" t="s">
        <v>84</v>
      </c>
      <c r="C26" s="56" t="s">
        <v>59</v>
      </c>
      <c r="D26" s="78"/>
      <c r="E26" s="78"/>
      <c r="F26" s="78"/>
      <c r="G26" s="78"/>
      <c r="H26" s="105" t="s">
        <v>722</v>
      </c>
      <c r="I26" s="57" t="s">
        <v>86</v>
      </c>
      <c r="J26" s="56"/>
      <c r="K26" s="122">
        <v>82.1438244155297</v>
      </c>
      <c r="L26" s="123" t="s">
        <v>59</v>
      </c>
    </row>
    <row r="27" ht="18" spans="2:12">
      <c r="B27" s="57" t="s">
        <v>87</v>
      </c>
      <c r="C27" s="56" t="s">
        <v>88</v>
      </c>
      <c r="D27" s="78"/>
      <c r="E27" s="78"/>
      <c r="F27" s="78"/>
      <c r="G27" s="78"/>
      <c r="H27" s="103" t="s">
        <v>700</v>
      </c>
      <c r="I27" s="129"/>
      <c r="J27" s="130"/>
      <c r="K27" s="131"/>
      <c r="L27" s="132"/>
    </row>
    <row r="28" ht="18" spans="2:14">
      <c r="B28" s="57" t="s">
        <v>90</v>
      </c>
      <c r="C28" s="56" t="s">
        <v>91</v>
      </c>
      <c r="D28" s="78"/>
      <c r="E28" s="78"/>
      <c r="F28" s="78"/>
      <c r="G28" s="78"/>
      <c r="H28" s="103" t="s">
        <v>799</v>
      </c>
      <c r="I28" s="63" t="s">
        <v>93</v>
      </c>
      <c r="J28" s="133"/>
      <c r="K28" s="134"/>
      <c r="L28" s="120"/>
      <c r="N28" t="s">
        <v>77</v>
      </c>
    </row>
    <row r="29" spans="2:12">
      <c r="B29" s="66" t="s">
        <v>32</v>
      </c>
      <c r="C29" s="56" t="s">
        <v>62</v>
      </c>
      <c r="D29" s="75">
        <v>7.16333333333333</v>
      </c>
      <c r="E29" s="75">
        <v>8.05</v>
      </c>
      <c r="F29" s="78"/>
      <c r="G29" s="80"/>
      <c r="H29" s="78"/>
      <c r="I29" s="66" t="s">
        <v>26</v>
      </c>
      <c r="J29" s="64"/>
      <c r="K29" s="134">
        <v>8</v>
      </c>
      <c r="L29" s="120"/>
    </row>
    <row r="30" spans="2:12">
      <c r="B30" s="66" t="s">
        <v>94</v>
      </c>
      <c r="C30" s="56" t="s">
        <v>95</v>
      </c>
      <c r="D30" s="79">
        <v>50.7542831050228</v>
      </c>
      <c r="E30" s="77">
        <v>49.9927058557881</v>
      </c>
      <c r="F30" s="78"/>
      <c r="G30" s="77"/>
      <c r="H30" s="78"/>
      <c r="I30" s="66" t="s">
        <v>96</v>
      </c>
      <c r="J30" s="92"/>
      <c r="K30" s="135">
        <v>14422</v>
      </c>
      <c r="L30" s="120" t="s">
        <v>55</v>
      </c>
    </row>
    <row r="31" ht="18" spans="2:12">
      <c r="B31" s="66" t="s">
        <v>97</v>
      </c>
      <c r="C31" s="64" t="s">
        <v>98</v>
      </c>
      <c r="D31" s="75">
        <v>3.14259057916667</v>
      </c>
      <c r="E31" s="75">
        <v>3.4425405</v>
      </c>
      <c r="F31" s="78"/>
      <c r="G31" s="80"/>
      <c r="H31" s="78"/>
      <c r="I31" s="66" t="s">
        <v>99</v>
      </c>
      <c r="J31" s="92"/>
      <c r="K31" s="135">
        <v>0</v>
      </c>
      <c r="L31" s="120" t="s">
        <v>55</v>
      </c>
    </row>
    <row r="32" ht="18" spans="2:12">
      <c r="B32" s="66" t="s">
        <v>100</v>
      </c>
      <c r="C32" s="64" t="s">
        <v>98</v>
      </c>
      <c r="D32" s="75">
        <v>5.25458333333333</v>
      </c>
      <c r="E32" s="75">
        <v>5.05363636363636</v>
      </c>
      <c r="F32" s="78"/>
      <c r="G32" s="80"/>
      <c r="H32" s="78"/>
      <c r="I32" s="66" t="s">
        <v>66</v>
      </c>
      <c r="J32" s="92"/>
      <c r="K32" s="135">
        <v>0</v>
      </c>
      <c r="L32" s="120" t="s">
        <v>55</v>
      </c>
    </row>
    <row r="33" spans="2:12">
      <c r="B33" s="66" t="s">
        <v>101</v>
      </c>
      <c r="C33" s="64" t="s">
        <v>102</v>
      </c>
      <c r="D33" s="77">
        <v>401.541666666667</v>
      </c>
      <c r="E33" s="77">
        <v>181.25</v>
      </c>
      <c r="F33" s="78"/>
      <c r="G33" s="80"/>
      <c r="H33" s="78"/>
      <c r="I33" s="57" t="s">
        <v>103</v>
      </c>
      <c r="J33" s="64"/>
      <c r="K33" s="136">
        <v>1.2</v>
      </c>
      <c r="L33" s="120" t="s">
        <v>59</v>
      </c>
    </row>
    <row r="34" spans="2:12">
      <c r="B34" s="66" t="s">
        <v>104</v>
      </c>
      <c r="C34" s="64" t="s">
        <v>62</v>
      </c>
      <c r="D34" s="80">
        <v>0.262</v>
      </c>
      <c r="E34" s="80">
        <v>0.218877988873373</v>
      </c>
      <c r="F34" s="78"/>
      <c r="G34" s="80"/>
      <c r="H34" s="78"/>
      <c r="I34" s="66" t="s">
        <v>105</v>
      </c>
      <c r="J34" s="64"/>
      <c r="K34" s="137">
        <v>7.32433734641489</v>
      </c>
      <c r="L34" s="120" t="s">
        <v>59</v>
      </c>
    </row>
    <row r="35" spans="2:12">
      <c r="B35" s="66"/>
      <c r="C35" s="64"/>
      <c r="D35" s="78"/>
      <c r="E35" s="78"/>
      <c r="F35" s="78"/>
      <c r="G35" s="78"/>
      <c r="H35" s="78"/>
      <c r="I35" s="66" t="s">
        <v>106</v>
      </c>
      <c r="J35" s="64"/>
      <c r="K35" s="137">
        <v>74.0450528486799</v>
      </c>
      <c r="L35" s="120" t="s">
        <v>59</v>
      </c>
    </row>
    <row r="36" spans="2:12">
      <c r="B36" s="81"/>
      <c r="C36" s="64"/>
      <c r="D36" s="64"/>
      <c r="E36" s="80"/>
      <c r="F36" s="78"/>
      <c r="G36" s="78"/>
      <c r="H36" s="78"/>
      <c r="I36" s="129"/>
      <c r="J36" s="70"/>
      <c r="K36" s="138"/>
      <c r="L36" s="132"/>
    </row>
    <row r="37" ht="17.6" spans="2:12">
      <c r="B37" s="51" t="s">
        <v>107</v>
      </c>
      <c r="C37" s="82" t="s">
        <v>761</v>
      </c>
      <c r="D37" s="83"/>
      <c r="E37" s="83"/>
      <c r="F37" s="83"/>
      <c r="G37" s="83"/>
      <c r="H37" s="106"/>
      <c r="I37" s="139" t="s">
        <v>108</v>
      </c>
      <c r="J37" s="140"/>
      <c r="K37" s="141"/>
      <c r="L37" s="142"/>
    </row>
    <row r="38" spans="2:12">
      <c r="B38" s="84"/>
      <c r="C38" s="78"/>
      <c r="D38" s="78"/>
      <c r="E38" s="64"/>
      <c r="F38" s="78"/>
      <c r="G38" s="78"/>
      <c r="H38" s="102"/>
      <c r="I38" s="66"/>
      <c r="J38" s="64" t="s">
        <v>109</v>
      </c>
      <c r="K38" s="143" t="s">
        <v>110</v>
      </c>
      <c r="L38" s="120"/>
    </row>
    <row r="39" spans="2:12">
      <c r="B39" s="85"/>
      <c r="C39" s="64"/>
      <c r="D39" s="78"/>
      <c r="E39" s="64"/>
      <c r="F39" s="78"/>
      <c r="G39" s="78"/>
      <c r="H39" s="102"/>
      <c r="I39" s="125" t="s">
        <v>112</v>
      </c>
      <c r="J39" s="64"/>
      <c r="K39" s="134"/>
      <c r="L39" s="120"/>
    </row>
    <row r="40" ht="18" spans="2:12">
      <c r="B40" s="84"/>
      <c r="C40" s="78"/>
      <c r="D40" s="78"/>
      <c r="E40" s="64"/>
      <c r="F40" s="78"/>
      <c r="G40" s="78"/>
      <c r="H40" s="102"/>
      <c r="I40" s="66"/>
      <c r="J40" s="64" t="s">
        <v>113</v>
      </c>
      <c r="K40" s="144" t="s">
        <v>114</v>
      </c>
      <c r="L40" s="145">
        <v>52.5181712109588</v>
      </c>
    </row>
    <row r="41" ht="18" spans="2:12">
      <c r="B41" s="86"/>
      <c r="C41" s="77"/>
      <c r="D41" s="67"/>
      <c r="E41" s="67"/>
      <c r="F41" s="67"/>
      <c r="G41" s="67"/>
      <c r="H41" s="67"/>
      <c r="I41" s="66"/>
      <c r="J41" s="64" t="s">
        <v>113</v>
      </c>
      <c r="K41" s="143" t="s">
        <v>116</v>
      </c>
      <c r="L41" s="145">
        <v>51.8695144</v>
      </c>
    </row>
    <row r="42" ht="18" spans="2:12">
      <c r="B42" s="66"/>
      <c r="C42" s="64"/>
      <c r="D42" s="78"/>
      <c r="E42" s="78"/>
      <c r="F42" s="78"/>
      <c r="G42" s="78"/>
      <c r="H42" s="102"/>
      <c r="I42" s="66"/>
      <c r="J42" s="64" t="s">
        <v>113</v>
      </c>
      <c r="K42" s="143" t="s">
        <v>120</v>
      </c>
      <c r="L42" s="146">
        <v>0.100809723287671</v>
      </c>
    </row>
    <row r="43" ht="18" spans="2:12">
      <c r="B43" s="66"/>
      <c r="C43" s="64"/>
      <c r="D43" s="77"/>
      <c r="E43" s="77"/>
      <c r="F43" s="77"/>
      <c r="G43" s="78"/>
      <c r="H43" s="102"/>
      <c r="I43" s="66"/>
      <c r="J43" s="64" t="s">
        <v>123</v>
      </c>
      <c r="K43" s="144" t="s">
        <v>124</v>
      </c>
      <c r="L43" s="147">
        <v>66.8091107726029</v>
      </c>
    </row>
    <row r="44" spans="2:12">
      <c r="B44" s="66"/>
      <c r="C44" s="64"/>
      <c r="D44" s="77"/>
      <c r="E44" s="77"/>
      <c r="F44" s="77"/>
      <c r="G44" s="78"/>
      <c r="H44" s="102"/>
      <c r="I44" s="148" t="s">
        <v>126</v>
      </c>
      <c r="J44" s="64"/>
      <c r="K44" s="134"/>
      <c r="L44" s="120"/>
    </row>
    <row r="45" spans="2:12">
      <c r="B45" s="66"/>
      <c r="C45" s="64"/>
      <c r="D45" s="78"/>
      <c r="E45" s="78"/>
      <c r="F45" s="78"/>
      <c r="G45" s="78"/>
      <c r="H45" s="102"/>
      <c r="I45" s="64"/>
      <c r="J45" s="64"/>
      <c r="K45" s="143" t="s">
        <v>128</v>
      </c>
      <c r="L45" s="149" t="s">
        <v>129</v>
      </c>
    </row>
    <row r="46" spans="2:12">
      <c r="B46" s="66"/>
      <c r="C46" s="64"/>
      <c r="D46" s="78"/>
      <c r="E46" s="78"/>
      <c r="F46" s="78"/>
      <c r="G46" s="78"/>
      <c r="H46" s="102"/>
      <c r="I46" s="66"/>
      <c r="J46" s="64" t="s">
        <v>131</v>
      </c>
      <c r="K46" s="79">
        <f>25497.6890515566/K15</f>
        <v>259.139961282776</v>
      </c>
      <c r="L46" s="147">
        <f>K46*$L$40/100</f>
        <v>136.095568542501</v>
      </c>
    </row>
    <row r="47" spans="2:12">
      <c r="B47" s="57"/>
      <c r="C47" s="56"/>
      <c r="D47" s="70"/>
      <c r="E47" s="70"/>
      <c r="F47" s="78"/>
      <c r="G47" s="78"/>
      <c r="H47" s="102"/>
      <c r="I47" s="66"/>
      <c r="J47" s="64" t="s">
        <v>134</v>
      </c>
      <c r="K47" s="79">
        <f>K46/K24*100/K25*100</f>
        <v>796.362761314187</v>
      </c>
      <c r="L47" s="147">
        <f>K47*$L$40/100</f>
        <v>418.235158447304</v>
      </c>
    </row>
    <row r="48" spans="2:12">
      <c r="B48" s="57"/>
      <c r="C48" s="64"/>
      <c r="D48" s="77"/>
      <c r="E48" s="78"/>
      <c r="F48" s="78"/>
      <c r="G48" s="78"/>
      <c r="H48" s="102"/>
      <c r="I48" s="66"/>
      <c r="J48" s="64"/>
      <c r="K48" s="150"/>
      <c r="L48" s="120"/>
    </row>
    <row r="49" spans="2:14">
      <c r="B49" s="87"/>
      <c r="C49" s="64"/>
      <c r="D49" s="78"/>
      <c r="E49" s="78"/>
      <c r="F49" s="78"/>
      <c r="G49" s="78"/>
      <c r="H49" s="102"/>
      <c r="I49" s="65" t="s">
        <v>565</v>
      </c>
      <c r="J49" s="64"/>
      <c r="K49" s="143"/>
      <c r="L49" s="120"/>
      <c r="N49" s="154"/>
    </row>
    <row r="50" spans="2:12">
      <c r="B50" s="87"/>
      <c r="C50" s="64"/>
      <c r="D50" s="78"/>
      <c r="E50" s="78"/>
      <c r="F50" s="78"/>
      <c r="G50" s="78"/>
      <c r="H50" s="102"/>
      <c r="I50" s="66"/>
      <c r="J50" s="64" t="s">
        <v>139</v>
      </c>
      <c r="K50" s="151">
        <f>K51*9.971*24*0.4*0.525</f>
        <v>53389.8660819449</v>
      </c>
      <c r="L50" s="120"/>
    </row>
    <row r="51" spans="2:12">
      <c r="B51" s="84"/>
      <c r="C51" s="56"/>
      <c r="D51" s="78"/>
      <c r="E51" s="107"/>
      <c r="F51" s="78"/>
      <c r="G51" s="78"/>
      <c r="H51" s="102"/>
      <c r="I51" s="64"/>
      <c r="J51" s="64" t="s">
        <v>341</v>
      </c>
      <c r="K51" s="151">
        <f>25497.6890515566/24</f>
        <v>1062.40371048152</v>
      </c>
      <c r="L51" s="120"/>
    </row>
    <row r="52" spans="2:12">
      <c r="B52" s="88" t="s">
        <v>142</v>
      </c>
      <c r="C52" s="89"/>
      <c r="D52" s="89"/>
      <c r="E52" s="108"/>
      <c r="F52" s="99"/>
      <c r="G52" s="99"/>
      <c r="H52" s="109"/>
      <c r="I52" s="78"/>
      <c r="J52" s="78"/>
      <c r="K52" s="78"/>
      <c r="L52" s="114"/>
    </row>
    <row r="53" ht="17.6" spans="2:12">
      <c r="B53" s="90" t="s">
        <v>143</v>
      </c>
      <c r="C53" s="78"/>
      <c r="D53" s="64"/>
      <c r="E53" s="64"/>
      <c r="F53" s="64"/>
      <c r="G53" s="110"/>
      <c r="H53" s="64"/>
      <c r="I53" s="83"/>
      <c r="J53" s="140"/>
      <c r="K53" s="140"/>
      <c r="L53" s="152"/>
    </row>
    <row r="54" spans="2:12">
      <c r="B54" s="66"/>
      <c r="C54" s="91" t="s">
        <v>145</v>
      </c>
      <c r="D54" s="92"/>
      <c r="E54" s="92"/>
      <c r="F54" s="64"/>
      <c r="G54" s="64"/>
      <c r="H54" s="64"/>
      <c r="I54" s="78"/>
      <c r="J54" s="64"/>
      <c r="K54" s="64"/>
      <c r="L54" s="114"/>
    </row>
    <row r="55" spans="2:12">
      <c r="B55" s="66" t="s">
        <v>146</v>
      </c>
      <c r="C55" s="93"/>
      <c r="D55" s="69"/>
      <c r="E55" s="111"/>
      <c r="F55" s="64"/>
      <c r="G55" s="64"/>
      <c r="H55" s="64"/>
      <c r="I55" s="69"/>
      <c r="J55" s="69"/>
      <c r="K55" s="111"/>
      <c r="L55" s="114"/>
    </row>
    <row r="56" spans="2:12">
      <c r="B56" s="66" t="s">
        <v>960</v>
      </c>
      <c r="C56" s="93">
        <v>3181611</v>
      </c>
      <c r="D56" s="69"/>
      <c r="E56" s="111"/>
      <c r="F56" s="64"/>
      <c r="G56" s="64"/>
      <c r="H56" s="64"/>
      <c r="I56" s="69"/>
      <c r="J56" s="69"/>
      <c r="K56" s="111"/>
      <c r="L56" s="114"/>
    </row>
    <row r="57" spans="2:12">
      <c r="B57" s="81"/>
      <c r="C57" s="94"/>
      <c r="D57" s="89"/>
      <c r="E57" s="94"/>
      <c r="F57" s="94"/>
      <c r="G57" s="94"/>
      <c r="H57" s="94"/>
      <c r="I57" s="89"/>
      <c r="J57" s="89"/>
      <c r="K57" s="153"/>
      <c r="L57" s="115"/>
    </row>
    <row r="62" spans="4:4">
      <c r="D62" t="s">
        <v>77</v>
      </c>
    </row>
  </sheetData>
  <mergeCells count="1">
    <mergeCell ref="B2:L2"/>
  </mergeCells>
  <pageMargins left="0.7" right="0.7" top="0.787401575" bottom="0.7874015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2:M40"/>
  <sheetViews>
    <sheetView zoomScale="85" zoomScaleNormal="85" workbookViewId="0">
      <selection activeCell="A1" sqref="A1"/>
    </sheetView>
  </sheetViews>
  <sheetFormatPr defaultColWidth="11.5" defaultRowHeight="16.8"/>
  <sheetData>
    <row r="2" ht="34" spans="2:7">
      <c r="B2" t="s">
        <v>154</v>
      </c>
      <c r="C2" t="s">
        <v>155</v>
      </c>
      <c r="D2" t="s">
        <v>58</v>
      </c>
      <c r="E2" t="s">
        <v>157</v>
      </c>
      <c r="F2" t="s">
        <v>622</v>
      </c>
      <c r="G2" s="48" t="s">
        <v>661</v>
      </c>
    </row>
    <row r="3" spans="3:7">
      <c r="C3" t="s">
        <v>59</v>
      </c>
      <c r="D3" t="s">
        <v>59</v>
      </c>
      <c r="E3" t="s">
        <v>59</v>
      </c>
      <c r="F3" t="s">
        <v>59</v>
      </c>
      <c r="G3" t="s">
        <v>925</v>
      </c>
    </row>
    <row r="4" spans="2:7">
      <c r="B4" t="s">
        <v>177</v>
      </c>
      <c r="C4">
        <v>7.48143108803949</v>
      </c>
      <c r="D4">
        <v>55.5111413471763</v>
      </c>
      <c r="E4">
        <v>13.8777853367941</v>
      </c>
      <c r="F4">
        <v>23.1296422279901</v>
      </c>
      <c r="G4">
        <v>66.8321333333333</v>
      </c>
    </row>
    <row r="5" spans="2:7">
      <c r="B5" t="s">
        <v>166</v>
      </c>
      <c r="C5">
        <v>4.44609156998091</v>
      </c>
      <c r="D5">
        <v>57.3323450580114</v>
      </c>
      <c r="E5">
        <v>14.3330862645029</v>
      </c>
      <c r="F5">
        <v>23.8884771075048</v>
      </c>
      <c r="G5">
        <v>112.458322580645</v>
      </c>
    </row>
    <row r="6" spans="2:7">
      <c r="B6" t="s">
        <v>167</v>
      </c>
      <c r="C6">
        <v>4.66843818334264</v>
      </c>
      <c r="D6">
        <v>57.1989370899944</v>
      </c>
      <c r="E6">
        <v>14.2997342724986</v>
      </c>
      <c r="F6">
        <v>23.8328904541643</v>
      </c>
      <c r="G6">
        <v>107.1022</v>
      </c>
    </row>
    <row r="7" spans="2:7">
      <c r="B7" t="s">
        <v>168</v>
      </c>
      <c r="C7">
        <v>4.44821602144098</v>
      </c>
      <c r="D7">
        <v>57.3310703871354</v>
      </c>
      <c r="E7">
        <v>14.3327675967839</v>
      </c>
      <c r="F7">
        <v>23.8879459946398</v>
      </c>
      <c r="G7">
        <v>112.404612903226</v>
      </c>
    </row>
    <row r="8" spans="2:7">
      <c r="B8" t="s">
        <v>169</v>
      </c>
      <c r="C8">
        <v>4.62816432073477</v>
      </c>
      <c r="D8">
        <v>57.2231014075591</v>
      </c>
      <c r="E8">
        <v>14.3057753518898</v>
      </c>
      <c r="F8">
        <v>23.8429589198163</v>
      </c>
      <c r="G8">
        <v>108.034193548387</v>
      </c>
    </row>
    <row r="9" spans="2:7">
      <c r="B9" t="s">
        <v>170</v>
      </c>
      <c r="C9">
        <v>4.8611178626637</v>
      </c>
      <c r="D9">
        <v>57.2477548579929</v>
      </c>
      <c r="E9">
        <v>14.1064067450094</v>
      </c>
      <c r="F9">
        <v>23.7847205343341</v>
      </c>
      <c r="G9">
        <v>102.857</v>
      </c>
    </row>
    <row r="10" spans="2:7">
      <c r="B10" t="s">
        <v>171</v>
      </c>
      <c r="C10">
        <v>4.88630513683073</v>
      </c>
      <c r="D10">
        <v>57.0682169179016</v>
      </c>
      <c r="E10">
        <v>14.2670542294754</v>
      </c>
      <c r="F10">
        <v>23.7784237157923</v>
      </c>
      <c r="G10">
        <v>102.326806451613</v>
      </c>
    </row>
    <row r="11" spans="2:7">
      <c r="B11" t="s">
        <v>172</v>
      </c>
      <c r="C11">
        <v>5.56674884425016</v>
      </c>
      <c r="D11">
        <v>56.6599506934499</v>
      </c>
      <c r="E11">
        <v>14.1649876733625</v>
      </c>
      <c r="F11">
        <v>23.6083127889375</v>
      </c>
      <c r="G11">
        <v>89.8190333333334</v>
      </c>
    </row>
    <row r="12" spans="2:7">
      <c r="B12" t="s">
        <v>173</v>
      </c>
      <c r="C12">
        <v>6.00694635525623</v>
      </c>
      <c r="D12">
        <v>56.3958321868462</v>
      </c>
      <c r="E12">
        <v>14.0989580467116</v>
      </c>
      <c r="F12">
        <v>23.4982634111859</v>
      </c>
      <c r="G12">
        <v>83.2369677419355</v>
      </c>
    </row>
    <row r="13" spans="2:7">
      <c r="B13" t="s">
        <v>174</v>
      </c>
      <c r="C13">
        <v>4.94584464970066</v>
      </c>
      <c r="D13">
        <v>57.0324932101796</v>
      </c>
      <c r="E13">
        <v>14.2581233025449</v>
      </c>
      <c r="F13">
        <v>23.7635388375748</v>
      </c>
      <c r="G13">
        <v>101.094966666667</v>
      </c>
    </row>
    <row r="14" spans="2:7">
      <c r="B14" t="s">
        <v>175</v>
      </c>
      <c r="C14">
        <v>5.10388211151884</v>
      </c>
      <c r="D14">
        <v>56.9376707330887</v>
      </c>
      <c r="E14">
        <v>14.2344176832722</v>
      </c>
      <c r="F14">
        <v>23.7240294721203</v>
      </c>
      <c r="G14">
        <v>97.9646451612903</v>
      </c>
    </row>
    <row r="15" spans="2:7">
      <c r="B15" t="s">
        <v>176</v>
      </c>
      <c r="C15">
        <v>5.03526144864147</v>
      </c>
      <c r="D15">
        <v>56.9788431308151</v>
      </c>
      <c r="E15">
        <v>14.2447107827038</v>
      </c>
      <c r="F15">
        <v>23.7411846378396</v>
      </c>
      <c r="G15">
        <v>99.2997096774193</v>
      </c>
    </row>
    <row r="21" spans="13:13">
      <c r="M21" t="s">
        <v>77</v>
      </c>
    </row>
    <row r="26" spans="2:3">
      <c r="B26" t="s">
        <v>104</v>
      </c>
      <c r="C26" t="s">
        <v>259</v>
      </c>
    </row>
    <row r="27" spans="3:3">
      <c r="C27" t="s">
        <v>62</v>
      </c>
    </row>
    <row r="29" spans="2:3">
      <c r="B29" t="s">
        <v>177</v>
      </c>
      <c r="C29">
        <v>0.270564299474739</v>
      </c>
    </row>
    <row r="30" spans="2:3">
      <c r="B30" t="s">
        <v>166</v>
      </c>
      <c r="C30">
        <v>0.259214668516008</v>
      </c>
    </row>
    <row r="31" spans="2:3">
      <c r="B31" t="s">
        <v>167</v>
      </c>
      <c r="C31">
        <v>0.295183313871854</v>
      </c>
    </row>
    <row r="32" spans="2:3">
      <c r="B32" t="s">
        <v>168</v>
      </c>
      <c r="C32">
        <v>0.257658574889126</v>
      </c>
    </row>
    <row r="33" spans="2:3">
      <c r="B33" t="s">
        <v>169</v>
      </c>
      <c r="C33">
        <v>0.263677615444312</v>
      </c>
    </row>
    <row r="34" spans="2:3">
      <c r="B34" t="s">
        <v>170</v>
      </c>
      <c r="C34">
        <v>0.25604599924053</v>
      </c>
    </row>
    <row r="35" spans="2:3">
      <c r="B35" t="s">
        <v>171</v>
      </c>
      <c r="C35">
        <v>0.249979567504861</v>
      </c>
    </row>
    <row r="36" spans="2:3">
      <c r="B36" t="s">
        <v>172</v>
      </c>
      <c r="C36">
        <v>0.237529289651609</v>
      </c>
    </row>
    <row r="37" spans="2:3">
      <c r="B37" t="s">
        <v>173</v>
      </c>
      <c r="C37">
        <v>0.233076837544223</v>
      </c>
    </row>
    <row r="38" spans="2:3">
      <c r="B38" t="s">
        <v>174</v>
      </c>
      <c r="C38">
        <v>0.3713382398767</v>
      </c>
    </row>
    <row r="39" spans="2:3">
      <c r="B39" t="s">
        <v>175</v>
      </c>
      <c r="C39">
        <v>0.388687166268928</v>
      </c>
    </row>
    <row r="40" spans="2:3">
      <c r="B40" t="s">
        <v>176</v>
      </c>
      <c r="C40">
        <v>0.364711626516032</v>
      </c>
    </row>
  </sheetData>
  <pageMargins left="0.7" right="0.7" top="0.787401575" bottom="0.787401575" header="0.3" footer="0.3"/>
  <headerFooter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M83"/>
  <sheetViews>
    <sheetView zoomScale="115" zoomScaleNormal="115" workbookViewId="0">
      <selection activeCell="A1" sqref="A1"/>
    </sheetView>
  </sheetViews>
  <sheetFormatPr defaultColWidth="11.5" defaultRowHeight="16.8"/>
  <cols>
    <col min="1" max="1" width="2.33653846153846" customWidth="1"/>
    <col min="2" max="2" width="3.5" customWidth="1"/>
    <col min="3" max="3" width="2.83653846153846" customWidth="1"/>
    <col min="4" max="4" width="20.5" customWidth="1"/>
    <col min="5" max="5" width="16.5" customWidth="1"/>
    <col min="6" max="7" width="7" customWidth="1"/>
    <col min="8" max="8" width="6.5" customWidth="1"/>
    <col min="9" max="9" width="29.3365384615385" customWidth="1"/>
    <col min="10" max="10" width="13.5" customWidth="1"/>
    <col min="11" max="11" width="8.5" customWidth="1"/>
    <col min="12" max="12" width="7.16346153846154" customWidth="1"/>
    <col min="13" max="20" width="16.3365384615385" customWidth="1"/>
  </cols>
  <sheetData>
    <row r="1" ht="8.25" customHeight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24" customHeight="1" spans="1:12">
      <c r="A2" s="1"/>
      <c r="B2" s="2" t="s">
        <v>1022</v>
      </c>
      <c r="C2" s="3"/>
      <c r="D2" s="3"/>
      <c r="E2" s="3"/>
      <c r="F2" s="3"/>
      <c r="G2" s="3"/>
      <c r="H2" s="3"/>
      <c r="I2" s="3"/>
      <c r="J2" s="3"/>
      <c r="K2" s="34"/>
      <c r="L2" s="1"/>
    </row>
    <row r="3" ht="21.75" customHeight="1" spans="1:12">
      <c r="A3" s="1"/>
      <c r="B3" s="4" t="s">
        <v>1025</v>
      </c>
      <c r="C3" s="5"/>
      <c r="D3" s="5"/>
      <c r="E3" s="5"/>
      <c r="F3" s="21">
        <v>100</v>
      </c>
      <c r="G3" s="22"/>
      <c r="H3" s="23" t="s">
        <v>187</v>
      </c>
      <c r="I3" s="5" t="s">
        <v>1026</v>
      </c>
      <c r="J3" s="35">
        <v>19641687</v>
      </c>
      <c r="K3" s="36" t="s">
        <v>189</v>
      </c>
      <c r="L3" s="1"/>
    </row>
    <row r="4" ht="21.75" customHeight="1" spans="1:12">
      <c r="A4" s="1"/>
      <c r="B4" s="6" t="s">
        <v>190</v>
      </c>
      <c r="C4" s="7"/>
      <c r="D4" s="7"/>
      <c r="E4" s="7"/>
      <c r="F4" s="7"/>
      <c r="G4" s="24">
        <v>0</v>
      </c>
      <c r="H4" s="25" t="s">
        <v>187</v>
      </c>
      <c r="I4" s="7" t="s">
        <v>191</v>
      </c>
      <c r="J4" s="37">
        <v>5430171.39</v>
      </c>
      <c r="K4" s="38" t="s">
        <v>192</v>
      </c>
      <c r="L4" s="1"/>
    </row>
    <row r="5" ht="21.75" customHeight="1" spans="1:12">
      <c r="A5" s="8"/>
      <c r="B5" s="9" t="s">
        <v>193</v>
      </c>
      <c r="C5" s="10"/>
      <c r="D5" s="10"/>
      <c r="E5" s="10"/>
      <c r="F5" s="10"/>
      <c r="G5" s="10"/>
      <c r="H5" s="10"/>
      <c r="I5" s="10"/>
      <c r="J5" s="10"/>
      <c r="K5" s="39"/>
      <c r="L5" s="8"/>
    </row>
    <row r="6" ht="21.75" customHeight="1" spans="1:13">
      <c r="A6" s="1"/>
      <c r="B6" s="11"/>
      <c r="C6" s="1" t="s">
        <v>194</v>
      </c>
      <c r="D6" s="1"/>
      <c r="E6" s="1"/>
      <c r="F6" s="1"/>
      <c r="G6" s="26">
        <v>0</v>
      </c>
      <c r="H6" s="27" t="s">
        <v>195</v>
      </c>
      <c r="I6" s="1"/>
      <c r="J6" s="40">
        <v>0</v>
      </c>
      <c r="K6" s="41" t="s">
        <v>196</v>
      </c>
      <c r="L6" s="1"/>
      <c r="M6" t="s">
        <v>77</v>
      </c>
    </row>
    <row r="7" ht="21.75" customHeight="1" spans="1:12">
      <c r="A7" s="1"/>
      <c r="B7" s="11"/>
      <c r="C7" s="1" t="s">
        <v>197</v>
      </c>
      <c r="D7" s="1"/>
      <c r="E7" s="1"/>
      <c r="F7" s="1"/>
      <c r="G7" s="26">
        <v>0</v>
      </c>
      <c r="H7" s="27" t="s">
        <v>195</v>
      </c>
      <c r="I7" s="1"/>
      <c r="J7" s="40">
        <v>0</v>
      </c>
      <c r="K7" s="41" t="s">
        <v>196</v>
      </c>
      <c r="L7" s="1"/>
    </row>
    <row r="8" ht="21.75" customHeight="1" spans="1:12">
      <c r="A8" s="1"/>
      <c r="B8" s="11"/>
      <c r="C8" s="1" t="s">
        <v>1027</v>
      </c>
      <c r="D8" s="1"/>
      <c r="E8" s="1"/>
      <c r="F8" s="1"/>
      <c r="G8" s="26">
        <v>100</v>
      </c>
      <c r="H8" s="27" t="s">
        <v>195</v>
      </c>
      <c r="I8" s="1"/>
      <c r="J8" s="40">
        <v>3129027</v>
      </c>
      <c r="K8" s="41" t="s">
        <v>196</v>
      </c>
      <c r="L8" s="1"/>
    </row>
    <row r="9" ht="21.75" customHeight="1" spans="1:12">
      <c r="A9" s="12"/>
      <c r="B9" s="13"/>
      <c r="C9" s="14" t="s">
        <v>199</v>
      </c>
      <c r="D9" s="14"/>
      <c r="E9" s="14"/>
      <c r="F9" s="14"/>
      <c r="G9" s="28">
        <f>SUM(G6:G8)</f>
        <v>100</v>
      </c>
      <c r="H9" s="29" t="s">
        <v>195</v>
      </c>
      <c r="I9" s="14"/>
      <c r="J9" s="42">
        <f>SUM(J6:J8)</f>
        <v>3129027</v>
      </c>
      <c r="K9" s="43" t="s">
        <v>196</v>
      </c>
      <c r="L9" s="12"/>
    </row>
    <row r="10" ht="21.75" customHeight="1" spans="1:12">
      <c r="A10" s="8"/>
      <c r="B10" s="9" t="s">
        <v>200</v>
      </c>
      <c r="C10" s="10"/>
      <c r="D10" s="10"/>
      <c r="E10" s="10"/>
      <c r="F10" s="10"/>
      <c r="G10" s="30"/>
      <c r="H10" s="10"/>
      <c r="I10" s="10"/>
      <c r="J10" s="10"/>
      <c r="K10" s="39"/>
      <c r="L10" s="8"/>
    </row>
    <row r="11" ht="21.75" customHeight="1" spans="1:12">
      <c r="A11" s="1"/>
      <c r="B11" s="11"/>
      <c r="C11" s="1" t="s">
        <v>201</v>
      </c>
      <c r="D11" s="1"/>
      <c r="E11" s="1"/>
      <c r="F11" s="1"/>
      <c r="G11" s="26">
        <v>60.367195605866</v>
      </c>
      <c r="H11" s="27" t="s">
        <v>195</v>
      </c>
      <c r="I11" s="1"/>
      <c r="J11" s="40">
        <v>1466964.41</v>
      </c>
      <c r="K11" s="41" t="s">
        <v>196</v>
      </c>
      <c r="L11" s="1"/>
    </row>
    <row r="12" ht="21.75" customHeight="1" spans="1:12">
      <c r="A12" s="15"/>
      <c r="B12" s="16"/>
      <c r="C12" s="15"/>
      <c r="D12" s="15" t="s">
        <v>241</v>
      </c>
      <c r="E12" s="15"/>
      <c r="F12" s="15"/>
      <c r="G12" s="31"/>
      <c r="H12" s="15"/>
      <c r="I12" s="15"/>
      <c r="J12" s="15"/>
      <c r="K12" s="44"/>
      <c r="L12" s="15"/>
    </row>
    <row r="13" ht="21.75" customHeight="1" spans="1:12">
      <c r="A13" s="15"/>
      <c r="B13" s="16"/>
      <c r="C13" s="15"/>
      <c r="D13" s="15" t="s">
        <v>203</v>
      </c>
      <c r="E13" s="32">
        <v>39.8635521707897</v>
      </c>
      <c r="F13" s="15" t="s">
        <v>204</v>
      </c>
      <c r="G13" s="31"/>
      <c r="H13" s="15"/>
      <c r="I13" s="15"/>
      <c r="J13" s="45">
        <v>887880.8975</v>
      </c>
      <c r="K13" s="44" t="s">
        <v>196</v>
      </c>
      <c r="L13" s="15"/>
    </row>
    <row r="14" ht="21.75" customHeight="1" spans="1:12">
      <c r="A14" s="15"/>
      <c r="B14" s="16"/>
      <c r="C14" s="15"/>
      <c r="D14" s="15" t="s">
        <v>205</v>
      </c>
      <c r="E14" s="32">
        <v>36.0577454397725</v>
      </c>
      <c r="F14" s="15" t="s">
        <v>204</v>
      </c>
      <c r="G14" s="31"/>
      <c r="H14" s="15"/>
      <c r="I14" s="15"/>
      <c r="J14" s="45">
        <v>177512.2808</v>
      </c>
      <c r="K14" s="44" t="s">
        <v>196</v>
      </c>
      <c r="L14" s="15"/>
    </row>
    <row r="15" ht="21.75" customHeight="1" spans="1:12">
      <c r="A15" s="15"/>
      <c r="B15" s="16"/>
      <c r="C15" s="15"/>
      <c r="D15" s="15" t="s">
        <v>242</v>
      </c>
      <c r="E15" s="32">
        <v>43.2774251535726</v>
      </c>
      <c r="F15" s="15" t="s">
        <v>204</v>
      </c>
      <c r="G15" s="31"/>
      <c r="H15" s="15"/>
      <c r="I15" s="15"/>
      <c r="J15" s="45">
        <v>401571.228</v>
      </c>
      <c r="K15" s="44" t="s">
        <v>196</v>
      </c>
      <c r="L15" s="15"/>
    </row>
    <row r="16" ht="21.75" customHeight="1" spans="1:12">
      <c r="A16" s="1"/>
      <c r="B16" s="11"/>
      <c r="C16" s="1" t="s">
        <v>207</v>
      </c>
      <c r="D16" s="1"/>
      <c r="E16" s="1"/>
      <c r="F16" s="1"/>
      <c r="G16" s="26">
        <v>3.92420981785849</v>
      </c>
      <c r="H16" s="27" t="s">
        <v>195</v>
      </c>
      <c r="I16" s="1"/>
      <c r="J16" s="40">
        <v>95361</v>
      </c>
      <c r="K16" s="41" t="s">
        <v>196</v>
      </c>
      <c r="L16" s="1"/>
    </row>
    <row r="17" ht="21.75" customHeight="1" spans="1:12">
      <c r="A17" s="1"/>
      <c r="B17" s="11"/>
      <c r="C17" s="1" t="s">
        <v>208</v>
      </c>
      <c r="D17" s="1"/>
      <c r="E17" s="1"/>
      <c r="F17" s="1"/>
      <c r="G17" s="26">
        <v>3.78773302570309</v>
      </c>
      <c r="H17" s="27" t="s">
        <v>195</v>
      </c>
      <c r="I17" s="1"/>
      <c r="J17" s="40">
        <v>92044.52</v>
      </c>
      <c r="K17" s="41" t="s">
        <v>196</v>
      </c>
      <c r="L17" s="1"/>
    </row>
    <row r="18" ht="21.75" customHeight="1" spans="1:12">
      <c r="A18" s="1"/>
      <c r="B18" s="11"/>
      <c r="C18" s="1" t="s">
        <v>209</v>
      </c>
      <c r="D18" s="1"/>
      <c r="E18" s="1"/>
      <c r="F18" s="1"/>
      <c r="G18" s="26">
        <v>15.0353588337028</v>
      </c>
      <c r="H18" s="27" t="s">
        <v>195</v>
      </c>
      <c r="I18" s="1"/>
      <c r="J18" s="40">
        <v>365369.57</v>
      </c>
      <c r="K18" s="41" t="s">
        <v>196</v>
      </c>
      <c r="L18" s="1"/>
    </row>
    <row r="19" ht="21.75" customHeight="1" spans="1:12">
      <c r="A19" s="1"/>
      <c r="B19" s="11"/>
      <c r="C19" s="1" t="s">
        <v>210</v>
      </c>
      <c r="D19" s="1"/>
      <c r="E19" s="1"/>
      <c r="F19" s="1"/>
      <c r="G19" s="26">
        <v>16.8855027168695</v>
      </c>
      <c r="H19" s="27" t="s">
        <v>195</v>
      </c>
      <c r="I19" s="1"/>
      <c r="J19" s="40">
        <v>410329.34</v>
      </c>
      <c r="K19" s="41" t="s">
        <v>196</v>
      </c>
      <c r="L19" s="1"/>
    </row>
    <row r="20" ht="21.75" customHeight="1" spans="1:12">
      <c r="A20" s="15"/>
      <c r="B20" s="16"/>
      <c r="C20" s="15"/>
      <c r="D20" s="15" t="s">
        <v>211</v>
      </c>
      <c r="E20" s="15"/>
      <c r="F20" s="15"/>
      <c r="G20" s="31"/>
      <c r="H20" s="15"/>
      <c r="I20" s="15"/>
      <c r="J20" s="15"/>
      <c r="K20" s="44"/>
      <c r="L20" s="15"/>
    </row>
    <row r="21" ht="21.75" customHeight="1" spans="1:13">
      <c r="A21" s="15"/>
      <c r="B21" s="16"/>
      <c r="C21" s="15"/>
      <c r="D21" s="15" t="s">
        <v>212</v>
      </c>
      <c r="E21" s="15"/>
      <c r="F21" s="15"/>
      <c r="G21" s="31"/>
      <c r="H21" s="15"/>
      <c r="I21" s="15"/>
      <c r="J21" s="45">
        <v>0</v>
      </c>
      <c r="K21" s="44" t="s">
        <v>196</v>
      </c>
      <c r="L21" s="15"/>
      <c r="M21" t="s">
        <v>77</v>
      </c>
    </row>
    <row r="22" ht="21.75" customHeight="1" spans="1:12">
      <c r="A22" s="17"/>
      <c r="B22" s="18"/>
      <c r="C22" s="17"/>
      <c r="D22" s="15" t="s">
        <v>213</v>
      </c>
      <c r="E22" s="15"/>
      <c r="F22" s="15"/>
      <c r="G22" s="33"/>
      <c r="H22" s="17"/>
      <c r="I22" s="17"/>
      <c r="J22" s="45">
        <v>166925.89</v>
      </c>
      <c r="K22" s="44" t="s">
        <v>196</v>
      </c>
      <c r="L22" s="17"/>
    </row>
    <row r="23" ht="21.75" customHeight="1" spans="1:12">
      <c r="A23" s="15"/>
      <c r="B23" s="16"/>
      <c r="C23" s="15"/>
      <c r="D23" s="15" t="s">
        <v>214</v>
      </c>
      <c r="E23" s="15"/>
      <c r="F23" s="15"/>
      <c r="G23" s="31"/>
      <c r="H23" s="15"/>
      <c r="I23" s="15"/>
      <c r="J23" s="45">
        <v>6353.52</v>
      </c>
      <c r="K23" s="44" t="s">
        <v>196</v>
      </c>
      <c r="L23" s="15"/>
    </row>
    <row r="24" ht="21.75" customHeight="1" spans="1:12">
      <c r="A24" s="15"/>
      <c r="B24" s="16"/>
      <c r="C24" s="15"/>
      <c r="D24" s="15" t="s">
        <v>215</v>
      </c>
      <c r="E24" s="15"/>
      <c r="F24" s="15"/>
      <c r="G24" s="31"/>
      <c r="H24" s="15"/>
      <c r="I24" s="15"/>
      <c r="J24" s="45">
        <v>0</v>
      </c>
      <c r="K24" s="44" t="s">
        <v>196</v>
      </c>
      <c r="L24" s="15"/>
    </row>
    <row r="25" ht="21.75" customHeight="1" spans="1:12">
      <c r="A25" s="15"/>
      <c r="B25" s="16"/>
      <c r="C25" s="15"/>
      <c r="D25" s="15" t="s">
        <v>216</v>
      </c>
      <c r="E25" s="15"/>
      <c r="F25" s="15"/>
      <c r="G25" s="31"/>
      <c r="H25" s="15"/>
      <c r="I25" s="15"/>
      <c r="J25" s="45">
        <v>9193.75</v>
      </c>
      <c r="K25" s="44" t="s">
        <v>196</v>
      </c>
      <c r="L25" s="15"/>
    </row>
    <row r="26" ht="21.75" customHeight="1" spans="1:12">
      <c r="A26" s="15"/>
      <c r="B26" s="16"/>
      <c r="C26" s="15"/>
      <c r="D26" s="15" t="s">
        <v>217</v>
      </c>
      <c r="E26" s="15"/>
      <c r="F26" s="15"/>
      <c r="G26" s="31"/>
      <c r="H26" s="15"/>
      <c r="I26" s="15"/>
      <c r="J26" s="45">
        <v>35262.06</v>
      </c>
      <c r="K26" s="44" t="s">
        <v>196</v>
      </c>
      <c r="L26" s="15"/>
    </row>
    <row r="27" ht="21.75" customHeight="1" spans="1:12">
      <c r="A27" s="15"/>
      <c r="B27" s="16"/>
      <c r="C27" s="15"/>
      <c r="D27" s="15" t="s">
        <v>218</v>
      </c>
      <c r="E27" s="15"/>
      <c r="F27" s="15"/>
      <c r="G27" s="31"/>
      <c r="H27" s="15"/>
      <c r="I27" s="15"/>
      <c r="J27" s="45">
        <v>1237.98</v>
      </c>
      <c r="K27" s="44" t="s">
        <v>196</v>
      </c>
      <c r="L27" s="15"/>
    </row>
    <row r="28" ht="21.75" customHeight="1" spans="1:12">
      <c r="A28" s="15"/>
      <c r="B28" s="16"/>
      <c r="C28" s="15"/>
      <c r="D28" s="15" t="s">
        <v>219</v>
      </c>
      <c r="E28" s="15"/>
      <c r="F28" s="15"/>
      <c r="G28" s="31"/>
      <c r="H28" s="15"/>
      <c r="I28" s="15"/>
      <c r="J28" s="45">
        <v>16802.14</v>
      </c>
      <c r="K28" s="44" t="s">
        <v>196</v>
      </c>
      <c r="L28" s="15"/>
    </row>
    <row r="29" ht="21.75" customHeight="1" spans="1:12">
      <c r="A29" s="15"/>
      <c r="B29" s="16"/>
      <c r="C29" s="15"/>
      <c r="D29" s="15" t="s">
        <v>347</v>
      </c>
      <c r="E29" s="15"/>
      <c r="F29" s="15"/>
      <c r="G29" s="31"/>
      <c r="H29" s="15"/>
      <c r="I29" s="15"/>
      <c r="J29" s="45">
        <v>83080</v>
      </c>
      <c r="K29" s="44" t="s">
        <v>196</v>
      </c>
      <c r="L29" s="15"/>
    </row>
    <row r="30" ht="21.75" customHeight="1" spans="1:12">
      <c r="A30" s="15"/>
      <c r="B30" s="16"/>
      <c r="C30" s="15"/>
      <c r="D30" s="15" t="s">
        <v>221</v>
      </c>
      <c r="E30" s="15"/>
      <c r="F30" s="15"/>
      <c r="G30" s="31"/>
      <c r="H30" s="15"/>
      <c r="I30" s="15"/>
      <c r="J30" s="45">
        <v>0</v>
      </c>
      <c r="K30" s="44" t="s">
        <v>196</v>
      </c>
      <c r="L30" s="15"/>
    </row>
    <row r="31" ht="21.75" customHeight="1" spans="1:12">
      <c r="A31" s="15"/>
      <c r="B31" s="16"/>
      <c r="C31" s="15"/>
      <c r="D31" s="15" t="s">
        <v>222</v>
      </c>
      <c r="E31" s="15"/>
      <c r="F31" s="15"/>
      <c r="G31" s="31"/>
      <c r="H31" s="15"/>
      <c r="I31" s="15"/>
      <c r="J31" s="45">
        <v>91474</v>
      </c>
      <c r="K31" s="44" t="s">
        <v>196</v>
      </c>
      <c r="L31" s="15"/>
    </row>
    <row r="32" ht="21.75" customHeight="1" spans="1:12">
      <c r="A32" s="12"/>
      <c r="B32" s="13"/>
      <c r="C32" s="14" t="s">
        <v>223</v>
      </c>
      <c r="D32" s="14"/>
      <c r="E32" s="14"/>
      <c r="F32" s="14"/>
      <c r="G32" s="28">
        <f>SUM(G11:G19)</f>
        <v>100</v>
      </c>
      <c r="H32" s="27" t="s">
        <v>195</v>
      </c>
      <c r="I32" s="14"/>
      <c r="J32" s="42">
        <v>2430068.84</v>
      </c>
      <c r="K32" s="43" t="s">
        <v>196</v>
      </c>
      <c r="L32" s="12"/>
    </row>
    <row r="33" ht="21.75" customHeight="1" spans="1:12">
      <c r="A33" s="8"/>
      <c r="B33" s="9" t="s">
        <v>224</v>
      </c>
      <c r="C33" s="10"/>
      <c r="D33" s="10"/>
      <c r="E33" s="10"/>
      <c r="F33" s="10"/>
      <c r="G33" s="10"/>
      <c r="H33" s="10"/>
      <c r="I33" s="10"/>
      <c r="J33" s="10"/>
      <c r="K33" s="39"/>
      <c r="L33" s="8"/>
    </row>
    <row r="34" ht="21.75" customHeight="1" spans="1:12">
      <c r="A34" s="1"/>
      <c r="B34" s="11"/>
      <c r="C34" s="1" t="s">
        <v>199</v>
      </c>
      <c r="D34" s="1"/>
      <c r="E34" s="1"/>
      <c r="F34" s="1"/>
      <c r="G34" s="1"/>
      <c r="H34" s="1"/>
      <c r="I34" s="1"/>
      <c r="J34" s="46">
        <v>15.9305409968095</v>
      </c>
      <c r="K34" s="41" t="s">
        <v>226</v>
      </c>
      <c r="L34" s="1"/>
    </row>
    <row r="35" ht="21.75" customHeight="1" spans="1:12">
      <c r="A35" s="1"/>
      <c r="B35" s="11"/>
      <c r="C35" s="1" t="s">
        <v>227</v>
      </c>
      <c r="D35" s="1"/>
      <c r="E35" s="1"/>
      <c r="F35" s="1"/>
      <c r="G35" s="1"/>
      <c r="H35" s="1"/>
      <c r="I35" s="1"/>
      <c r="J35" s="46">
        <v>12.3719965601733</v>
      </c>
      <c r="K35" s="41" t="s">
        <v>226</v>
      </c>
      <c r="L35" s="1"/>
    </row>
    <row r="36" ht="21.75" customHeight="1" spans="1:12">
      <c r="A36" s="1"/>
      <c r="B36" s="11"/>
      <c r="C36" s="1" t="s">
        <v>243</v>
      </c>
      <c r="D36" s="1"/>
      <c r="E36" s="1"/>
      <c r="F36" s="1"/>
      <c r="G36" s="1"/>
      <c r="H36" s="1"/>
      <c r="I36" s="1"/>
      <c r="J36" s="46">
        <v>3.55854443663622</v>
      </c>
      <c r="K36" s="41" t="s">
        <v>226</v>
      </c>
      <c r="L36" s="1"/>
    </row>
    <row r="37" ht="21.75" customHeight="1" spans="1:12">
      <c r="A37" s="12"/>
      <c r="B37" s="13"/>
      <c r="C37" s="14" t="s">
        <v>243</v>
      </c>
      <c r="D37" s="14"/>
      <c r="E37" s="14"/>
      <c r="F37" s="14"/>
      <c r="G37" s="14"/>
      <c r="H37" s="14"/>
      <c r="I37" s="14"/>
      <c r="J37" s="47">
        <f>J9-J32</f>
        <v>698958.16</v>
      </c>
      <c r="K37" s="43" t="s">
        <v>196</v>
      </c>
      <c r="L37" s="12"/>
    </row>
    <row r="38" ht="21.75" customHeight="1" spans="1:12">
      <c r="A38" s="1"/>
      <c r="B38" s="1" t="s">
        <v>1028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ht="21.75" customHeight="1" spans="1:12">
      <c r="A39" s="19"/>
      <c r="B39" s="19" t="s">
        <v>1029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ht="21.75" customHeight="1" spans="1:12">
      <c r="A40" s="19"/>
      <c r="B40" s="20" t="s">
        <v>1030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ht="21.75" customHeight="1" spans="1:12">
      <c r="A41" s="19"/>
      <c r="B41" s="19" t="s">
        <v>351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</row>
    <row r="42" ht="21.75" customHeight="1" spans="1:1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</row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4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</sheetData>
  <mergeCells count="2">
    <mergeCell ref="B2:K2"/>
    <mergeCell ref="F3:G3"/>
  </mergeCells>
  <pageMargins left="0.7" right="0.7" top="0.787401575" bottom="0.7874015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CEBEACE5-6154-4171-B20E-176F43458964}">
  <ds:schemaRefs/>
</ds:datastoreItem>
</file>

<file path=customXml/itemProps2.xml><?xml version="1.0" encoding="utf-8"?>
<ds:datastoreItem xmlns:ds="http://schemas.openxmlformats.org/officeDocument/2006/customXml" ds:itemID="{50BAB67F-A2E6-45A3-8B4A-DCB4A7DDA386}">
  <ds:schemaRefs/>
</ds:datastoreItem>
</file>

<file path=customXml/itemProps3.xml><?xml version="1.0" encoding="utf-8"?>
<ds:datastoreItem xmlns:ds="http://schemas.openxmlformats.org/officeDocument/2006/customXml" ds:itemID="{4B02D9C1-72EC-4981-9C18-490B0D50FA5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Macintosh Excel</Application>
  <HeadingPairs>
    <vt:vector size="2" baseType="variant">
      <vt:variant>
        <vt:lpstr>工作表</vt:lpstr>
      </vt:variant>
      <vt:variant>
        <vt:i4>172</vt:i4>
      </vt:variant>
    </vt:vector>
  </HeadingPairs>
  <TitlesOfParts>
    <vt:vector size="172" baseType="lpstr">
      <vt:lpstr>BGA 01_data sheet</vt:lpstr>
      <vt:lpstr>BGA 01_Diagrams</vt:lpstr>
      <vt:lpstr>BGA 01_Economy</vt:lpstr>
      <vt:lpstr>BGA 02_data sheet</vt:lpstr>
      <vt:lpstr>BGA 02_Diagrams</vt:lpstr>
      <vt:lpstr>BGA 02_Economy</vt:lpstr>
      <vt:lpstr>BGA 03_data sheet</vt:lpstr>
      <vt:lpstr>BGA 03_Diagrams</vt:lpstr>
      <vt:lpstr>BGA 03_Economy</vt:lpstr>
      <vt:lpstr>BGA 04_data sheet</vt:lpstr>
      <vt:lpstr>BGA 04_Diagrams</vt:lpstr>
      <vt:lpstr>BGA 04_Economy</vt:lpstr>
      <vt:lpstr>BGA 05_data sheet</vt:lpstr>
      <vt:lpstr>BGA 05_Diagrams</vt:lpstr>
      <vt:lpstr>BGA 06_data sheet</vt:lpstr>
      <vt:lpstr>BGA 06_Diagrams</vt:lpstr>
      <vt:lpstr>BGA 06_Economy</vt:lpstr>
      <vt:lpstr>BGA 07_data sheet</vt:lpstr>
      <vt:lpstr>BGA 07_Diagrams</vt:lpstr>
      <vt:lpstr>BGA 07_Economy</vt:lpstr>
      <vt:lpstr>BGA 08_data sheet</vt:lpstr>
      <vt:lpstr>BGA 08_Diagrams</vt:lpstr>
      <vt:lpstr>BGA 08_Economy</vt:lpstr>
      <vt:lpstr>BGA 09_data sheet</vt:lpstr>
      <vt:lpstr>BGA 09_Diagrams</vt:lpstr>
      <vt:lpstr>BGA 09_Economy</vt:lpstr>
      <vt:lpstr>BGA 10_data sheet</vt:lpstr>
      <vt:lpstr>BGA 10_Diagrams</vt:lpstr>
      <vt:lpstr>BGA 10_Economy</vt:lpstr>
      <vt:lpstr>BGA 11_data sheet</vt:lpstr>
      <vt:lpstr>BGA 11_Diagrams</vt:lpstr>
      <vt:lpstr>BGA 11_Economy</vt:lpstr>
      <vt:lpstr>BGA 12_data sheet</vt:lpstr>
      <vt:lpstr>BGA 12_Diagrams</vt:lpstr>
      <vt:lpstr>BGA 12_Economy</vt:lpstr>
      <vt:lpstr>BGA 13_data sheet</vt:lpstr>
      <vt:lpstr>BGA 13_Diagrams</vt:lpstr>
      <vt:lpstr>BGA 13_Economy</vt:lpstr>
      <vt:lpstr>BGA 14_data sheet</vt:lpstr>
      <vt:lpstr>BGA 14_Diagrams</vt:lpstr>
      <vt:lpstr>BGA 14_Economy</vt:lpstr>
      <vt:lpstr>BGA 15_data sheet</vt:lpstr>
      <vt:lpstr>BGA 15_Diagrams</vt:lpstr>
      <vt:lpstr>BGA15_Economy</vt:lpstr>
      <vt:lpstr>BGA 16_data sheet</vt:lpstr>
      <vt:lpstr>BGA16_Diagrams</vt:lpstr>
      <vt:lpstr>BGA16_Economy</vt:lpstr>
      <vt:lpstr>BGA 17_data sheet</vt:lpstr>
      <vt:lpstr>BGA17_Diagrams</vt:lpstr>
      <vt:lpstr>BGA 17_Economy</vt:lpstr>
      <vt:lpstr>BGA 18_data sheet</vt:lpstr>
      <vt:lpstr>BGA18_Diagrams</vt:lpstr>
      <vt:lpstr>BGA 18_Economy</vt:lpstr>
      <vt:lpstr>BGA 19_data sheet</vt:lpstr>
      <vt:lpstr>BGA19_Diagrams</vt:lpstr>
      <vt:lpstr>BGA 19_Economy</vt:lpstr>
      <vt:lpstr>BGA 20_data sheet</vt:lpstr>
      <vt:lpstr>BGA 20_Diagrams</vt:lpstr>
      <vt:lpstr>BGA 21_data sheet</vt:lpstr>
      <vt:lpstr>BGA 21_Diagrams</vt:lpstr>
      <vt:lpstr>BGA 22_data sheet</vt:lpstr>
      <vt:lpstr>BGA 22_Diagrams</vt:lpstr>
      <vt:lpstr>BGA22_Economy</vt:lpstr>
      <vt:lpstr>BGA 23_data sheet</vt:lpstr>
      <vt:lpstr>BGA 23_Diagrams</vt:lpstr>
      <vt:lpstr>BGA 23_Economy</vt:lpstr>
      <vt:lpstr>BGA 24_data sheet</vt:lpstr>
      <vt:lpstr>BGA 24_Diagrams</vt:lpstr>
      <vt:lpstr>BGA 24_Economy</vt:lpstr>
      <vt:lpstr>BGA 25_data sheet</vt:lpstr>
      <vt:lpstr>BGA 25_Diagrams</vt:lpstr>
      <vt:lpstr>BGA 25_Economy</vt:lpstr>
      <vt:lpstr>BGA 26_data sheet</vt:lpstr>
      <vt:lpstr>BGA 26_Diagrams</vt:lpstr>
      <vt:lpstr>BGA 27_data sheet</vt:lpstr>
      <vt:lpstr>BGA 27_Diagrams</vt:lpstr>
      <vt:lpstr>BGA 27_Economy</vt:lpstr>
      <vt:lpstr>BGA 28_data sheet</vt:lpstr>
      <vt:lpstr>BGA 28_Diagrams</vt:lpstr>
      <vt:lpstr>BGA 28_Economy</vt:lpstr>
      <vt:lpstr>BGA 29_data sheet</vt:lpstr>
      <vt:lpstr>BGA 29_Diagrams</vt:lpstr>
      <vt:lpstr>BGA 29_Economy</vt:lpstr>
      <vt:lpstr>BGA30_data sheet</vt:lpstr>
      <vt:lpstr>BGA 30_Diagrams</vt:lpstr>
      <vt:lpstr>BGA31_data sheet</vt:lpstr>
      <vt:lpstr>BGA 31_Diagrams</vt:lpstr>
      <vt:lpstr>BGA 31_Economy</vt:lpstr>
      <vt:lpstr>BGA 32_data sheet</vt:lpstr>
      <vt:lpstr>BGA 32_Diagrams</vt:lpstr>
      <vt:lpstr>BGA33_Datasheet</vt:lpstr>
      <vt:lpstr>BGA 33_Diagrams</vt:lpstr>
      <vt:lpstr>BGA 33_Economy</vt:lpstr>
      <vt:lpstr>BGA 34_data sheet</vt:lpstr>
      <vt:lpstr>BGA 34_Diagrams</vt:lpstr>
      <vt:lpstr>BGA 34_Economy</vt:lpstr>
      <vt:lpstr>BGA 35_data sheet</vt:lpstr>
      <vt:lpstr>BGA 35_Diagrams</vt:lpstr>
      <vt:lpstr>BGA 35_Economy</vt:lpstr>
      <vt:lpstr>BGA 36_data sheet</vt:lpstr>
      <vt:lpstr>BGA 36_Diagrams</vt:lpstr>
      <vt:lpstr>BGA 37_data sheet</vt:lpstr>
      <vt:lpstr>BGA 37_Diagrams</vt:lpstr>
      <vt:lpstr>BGA 37_Economy</vt:lpstr>
      <vt:lpstr>BGA 38_data sheet</vt:lpstr>
      <vt:lpstr>BGA 38_Diagrams</vt:lpstr>
      <vt:lpstr>BGA 38_Economy</vt:lpstr>
      <vt:lpstr>BGA 39_data sheet</vt:lpstr>
      <vt:lpstr>BGA 39_Diagrams</vt:lpstr>
      <vt:lpstr>BGA 39_Economy</vt:lpstr>
      <vt:lpstr>BGA 40_data sheet</vt:lpstr>
      <vt:lpstr>BGA 40_Diagrams</vt:lpstr>
      <vt:lpstr>BGA 40_Economy</vt:lpstr>
      <vt:lpstr>BGA 41_data sheet</vt:lpstr>
      <vt:lpstr>BGA 41_Diagrams</vt:lpstr>
      <vt:lpstr>BGA 41_Economy</vt:lpstr>
      <vt:lpstr>BGA 42_data sheet</vt:lpstr>
      <vt:lpstr>BGA 42_Diagrams</vt:lpstr>
      <vt:lpstr>BGA 42_Economy</vt:lpstr>
      <vt:lpstr>BGA 43_data sheet</vt:lpstr>
      <vt:lpstr>BGA 43_Diagrams</vt:lpstr>
      <vt:lpstr>BGA 43_Economy</vt:lpstr>
      <vt:lpstr>BGA 44_data sheet</vt:lpstr>
      <vt:lpstr>BGA 44_Diagrams</vt:lpstr>
      <vt:lpstr>BGA 44_Economy</vt:lpstr>
      <vt:lpstr>BGA 45_data sheet</vt:lpstr>
      <vt:lpstr>BGA 45_Diagrams</vt:lpstr>
      <vt:lpstr>BGA 46_data sheet</vt:lpstr>
      <vt:lpstr>BGA 46_Diagrams</vt:lpstr>
      <vt:lpstr>BGA 46_Economy</vt:lpstr>
      <vt:lpstr>BGA 47_data sheet</vt:lpstr>
      <vt:lpstr>BGA 47_Diagrams</vt:lpstr>
      <vt:lpstr>BGA 47_Economy</vt:lpstr>
      <vt:lpstr>BGA 48_data sheet</vt:lpstr>
      <vt:lpstr>BGA 48_Diagrams</vt:lpstr>
      <vt:lpstr>BGA 48_Economy</vt:lpstr>
      <vt:lpstr>BGA 49_data sheet</vt:lpstr>
      <vt:lpstr>BGA 49_Diagrams</vt:lpstr>
      <vt:lpstr>BGA 49_Economy</vt:lpstr>
      <vt:lpstr>BGA 50_data sheet</vt:lpstr>
      <vt:lpstr>BGA 50_Diagrams</vt:lpstr>
      <vt:lpstr>BGA 50_Economy</vt:lpstr>
      <vt:lpstr>BGA 51_data sheet</vt:lpstr>
      <vt:lpstr>BGA 51_Diagrams</vt:lpstr>
      <vt:lpstr>BGA 51_Economy</vt:lpstr>
      <vt:lpstr>BGA 52_data sheet</vt:lpstr>
      <vt:lpstr>BGA 52_Diagrams</vt:lpstr>
      <vt:lpstr>BGA 52_Economy</vt:lpstr>
      <vt:lpstr>BGA 53_data sheet</vt:lpstr>
      <vt:lpstr>BGA 53_Diagrams</vt:lpstr>
      <vt:lpstr>BGA 53_Economy</vt:lpstr>
      <vt:lpstr>BGA 54_data sheet</vt:lpstr>
      <vt:lpstr>BGA 54_Diagrams</vt:lpstr>
      <vt:lpstr>BGA 54_Economy</vt:lpstr>
      <vt:lpstr>BGA 55_data sheet</vt:lpstr>
      <vt:lpstr>BGA 55_Diagrams</vt:lpstr>
      <vt:lpstr>BGA 56_data sheet</vt:lpstr>
      <vt:lpstr>BGA 56_Diagrams</vt:lpstr>
      <vt:lpstr>BGA 56_Economy</vt:lpstr>
      <vt:lpstr>BGA 57_data sheet</vt:lpstr>
      <vt:lpstr>BGA 57_Diagrams</vt:lpstr>
      <vt:lpstr>BGA 57_Economy</vt:lpstr>
      <vt:lpstr>BGA 58_data sheet</vt:lpstr>
      <vt:lpstr>BGA 58_Diagrams</vt:lpstr>
      <vt:lpstr>BGA 59_data sheet</vt:lpstr>
      <vt:lpstr>BGA 59_Diagrams</vt:lpstr>
      <vt:lpstr>BGA 59_Economy</vt:lpstr>
      <vt:lpstr>BGA 60_data sheet</vt:lpstr>
      <vt:lpstr>BGA 60_Diagrams</vt:lpstr>
      <vt:lpstr>BGA 61_data sheet</vt:lpstr>
      <vt:lpstr>BGA 61_Diagrams</vt:lpstr>
      <vt:lpstr>BGA 61_Economy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Dittmann, Stefan</dc:creator>
  <cp:lastModifiedBy>潘敏</cp:lastModifiedBy>
  <dcterms:created xsi:type="dcterms:W3CDTF">2019-10-01T18:46:00Z</dcterms:created>
  <dcterms:modified xsi:type="dcterms:W3CDTF">2022-11-04T13:00:21Z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0x0101000BDFD0E17A518A41A64A85DA518C127C</vt:lpwstr>
  </property>
  <property fmtid="{D5CDD505-2E9C-101B-9397-08002B2CF9AE}" pid="3" name="KSOProductBuildVer">
    <vt:lpwstr>2052-5.0.0.7542</vt:lpwstr>
  </property>
  <property fmtid="{D5CDD505-2E9C-101B-9397-08002B2CF9AE}" pid="4" name="ICV">
    <vt:lpwstr>C5AF8AED5D7D967B659C646332A9F812</vt:lpwstr>
  </property>
</Properties>
</file>