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MATLAB/"/>
    </mc:Choice>
  </mc:AlternateContent>
  <xr:revisionPtr revIDLastSave="1123" documentId="8_{29EBDEE6-ACD6-4D01-970A-84CEAE8DF93B}" xr6:coauthVersionLast="47" xr6:coauthVersionMax="47" xr10:uidLastSave="{889E6CA0-7903-4DC7-BBBB-AB5596603AEC}"/>
  <bookViews>
    <workbookView xWindow="-120" yWindow="-120" windowWidth="29040" windowHeight="15720" xr2:uid="{00000000-000D-0000-FFFF-FFFF00000000}"/>
  </bookViews>
  <sheets>
    <sheet name="Array Results" sheetId="5" r:id="rId1"/>
    <sheet name="Reference Values" sheetId="2" r:id="rId2"/>
    <sheet name="Hand IOUs" sheetId="3" r:id="rId3"/>
    <sheet name="Head IOUs" sheetId="1" r:id="rId4"/>
  </sheets>
  <definedNames>
    <definedName name="handScores2_sides">'Hand IOUs'!$N$4:$N$213</definedName>
    <definedName name="handScores2_top">'Hand IOUs'!$O$4:$O$213</definedName>
    <definedName name="handScores3_sides">'Hand IOUs'!$V$4:$V$213</definedName>
    <definedName name="handScores3_top">'Hand IOUs'!$W$4:$W$213</definedName>
    <definedName name="handScores4_sides">'Hand IOUs'!$AD$4:$AD$213</definedName>
    <definedName name="handScores4_top">'Hand IOUs'!$AE$4:$AE$213</definedName>
    <definedName name="handScores5_sides">'Hand IOUs'!$AL$4:$AL$213</definedName>
    <definedName name="handScores5_top">'Hand IOUs'!$AM$4:$AM$213</definedName>
    <definedName name="IoU_Thresholds">'Reference Values'!$A$4:$B$7</definedName>
    <definedName name="scores1_eyes">'Head IOUs'!$F$5:$F$214</definedName>
    <definedName name="scores1_face">'Head IOUs'!$E$5:$E$214</definedName>
    <definedName name="scores1_mouth">'Head IOUs'!$G$5:$G$214</definedName>
    <definedName name="scores2_eyes">'Head IOUs'!$N$5:$N$214</definedName>
    <definedName name="scores2_eyes2">'Head IOUs'!$N$218:$N$427</definedName>
    <definedName name="scores2_face">'Head IOUs'!$M$5:$M$214</definedName>
    <definedName name="scores2_face2">'Head IOUs'!$M$218:$M$427</definedName>
    <definedName name="scores2_mouth">'Head IOUs'!$O$5:$O$214</definedName>
    <definedName name="scores2_mouth2">'Head IOUs'!$O$218:$O$427</definedName>
    <definedName name="scores3_eyes">'Head IOUs'!$V$5:$V$214</definedName>
    <definedName name="scores3_eyes2">'Head IOUs'!$V$218:$V$427</definedName>
    <definedName name="scores3_face">'Head IOUs'!$U$5:$U$214</definedName>
    <definedName name="scores3_face2">'Head IOUs'!$U$218:$U$427</definedName>
    <definedName name="scores3_mouth">'Head IOUs'!$W$5:$W$214</definedName>
    <definedName name="scores3_mouth2">'Head IOUs'!$W$218:$W$427</definedName>
    <definedName name="scores4_eyes">'Head IOUs'!$AD$5:$AD$214</definedName>
    <definedName name="scores4_eyes2">'Head IOUs'!$AD$218:$AD$427</definedName>
    <definedName name="scores4_face">'Head IOUs'!$AC$5:$AC$214</definedName>
    <definedName name="scores4_face2">'Head IOUs'!$AC$218:$AC$427</definedName>
    <definedName name="scores4_mouth">'Head IOUs'!$AE$5:$AE$214</definedName>
    <definedName name="scores4_mouth2">'Head IOUs'!$AE$218:$AE$427</definedName>
    <definedName name="scores5_eyes">'Head IOUs'!$AL$5:$AL$214</definedName>
    <definedName name="scores5_eyes2">'Head IOUs'!$AL$218:$AL$427</definedName>
    <definedName name="scores5_face">'Head IOUs'!$AK$5:$AK$214</definedName>
    <definedName name="scores5_face2">'Head IOUs'!$AK$218:$AK$427</definedName>
    <definedName name="scores5_mouth">'Head IOUs'!$AM$5:$AM$214</definedName>
    <definedName name="scores5_mouth2">'Head IOUs'!$AM$218:$AM$427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" i="5" l="1"/>
  <c r="AB6" i="5"/>
  <c r="AA6" i="5"/>
  <c r="Z6" i="5"/>
  <c r="W6" i="5"/>
  <c r="V6" i="5"/>
  <c r="U6" i="5"/>
  <c r="T6" i="5"/>
  <c r="Q6" i="5"/>
  <c r="P6" i="5"/>
  <c r="O6" i="5"/>
  <c r="N6" i="5"/>
  <c r="H6" i="5"/>
  <c r="E6" i="5" a="1"/>
  <c r="E6" i="5"/>
  <c r="D6" i="5" a="1"/>
  <c r="D6" i="5" s="1"/>
  <c r="C6" i="5" a="1"/>
  <c r="C6" i="5" s="1"/>
  <c r="B6" i="5" a="1"/>
  <c r="B6" i="5"/>
  <c r="K6" i="5"/>
  <c r="J6" i="5"/>
  <c r="I6" i="5"/>
  <c r="AC7" i="5"/>
  <c r="AB7" i="5"/>
  <c r="AA7" i="5"/>
  <c r="Z7" i="5"/>
  <c r="W7" i="5"/>
  <c r="V7" i="5"/>
  <c r="U7" i="5"/>
  <c r="T7" i="5"/>
  <c r="Q7" i="5"/>
  <c r="P7" i="5"/>
  <c r="O7" i="5"/>
  <c r="N7" i="5"/>
  <c r="E7" i="5" a="1"/>
  <c r="E7" i="5" s="1"/>
  <c r="D7" i="5" a="1"/>
  <c r="D7" i="5" s="1"/>
  <c r="C7" i="5" a="1"/>
  <c r="C7" i="5"/>
  <c r="B7" i="5" a="1"/>
  <c r="B7" i="5" s="1"/>
  <c r="K7" i="5"/>
  <c r="J7" i="5"/>
  <c r="I7" i="5"/>
  <c r="H7" i="5"/>
  <c r="B4" i="5"/>
  <c r="C4" i="5"/>
  <c r="D4" i="5"/>
  <c r="E4" i="5"/>
  <c r="B5" i="5"/>
  <c r="C5" i="5"/>
  <c r="D5" i="5"/>
  <c r="E5" i="5"/>
  <c r="C3" i="5"/>
  <c r="D3" i="5"/>
  <c r="E3" i="5"/>
  <c r="B3" i="5"/>
  <c r="Z4" i="5"/>
  <c r="AA4" i="5"/>
  <c r="AB4" i="5"/>
  <c r="AC4" i="5"/>
  <c r="Z5" i="5"/>
  <c r="AA5" i="5"/>
  <c r="AB5" i="5"/>
  <c r="AC5" i="5"/>
  <c r="AA3" i="5"/>
  <c r="AB3" i="5"/>
  <c r="AC3" i="5"/>
  <c r="Z3" i="5"/>
  <c r="T4" i="5"/>
  <c r="U4" i="5"/>
  <c r="V4" i="5"/>
  <c r="W4" i="5"/>
  <c r="T5" i="5"/>
  <c r="U5" i="5"/>
  <c r="V5" i="5"/>
  <c r="W5" i="5"/>
  <c r="U3" i="5"/>
  <c r="V3" i="5"/>
  <c r="W3" i="5"/>
  <c r="T3" i="5"/>
  <c r="N4" i="5"/>
  <c r="O4" i="5"/>
  <c r="P4" i="5"/>
  <c r="Q4" i="5"/>
  <c r="N5" i="5"/>
  <c r="O5" i="5"/>
  <c r="P5" i="5"/>
  <c r="Q5" i="5"/>
  <c r="O3" i="5"/>
  <c r="P3" i="5"/>
  <c r="Q3" i="5"/>
  <c r="N3" i="5"/>
  <c r="K5" i="5"/>
  <c r="J5" i="5"/>
  <c r="I5" i="5"/>
  <c r="H5" i="5"/>
  <c r="I4" i="5"/>
  <c r="J4" i="5"/>
  <c r="K4" i="5"/>
  <c r="H4" i="5"/>
  <c r="I3" i="5"/>
  <c r="J3" i="5"/>
  <c r="K3" i="5"/>
  <c r="H3" i="5"/>
  <c r="V20" i="2"/>
  <c r="AB13" i="2"/>
  <c r="AB12" i="2"/>
  <c r="AB11" i="2"/>
  <c r="AB6" i="2"/>
  <c r="AB5" i="2"/>
  <c r="AB4" i="2"/>
  <c r="AA13" i="2"/>
  <c r="AA12" i="2"/>
  <c r="AA11" i="2"/>
  <c r="AA6" i="2"/>
  <c r="AA5" i="2"/>
  <c r="AA4" i="2"/>
  <c r="Y13" i="2"/>
  <c r="Y12" i="2"/>
  <c r="Y11" i="2"/>
  <c r="Z13" i="2"/>
  <c r="Z12" i="2"/>
  <c r="Z11" i="2"/>
  <c r="Z6" i="2"/>
  <c r="Z5" i="2"/>
  <c r="Z4" i="2"/>
  <c r="Y6" i="2"/>
  <c r="Y5" i="2"/>
  <c r="Y4" i="2"/>
  <c r="T20" i="2"/>
  <c r="T19" i="2"/>
  <c r="T18" i="2"/>
  <c r="S20" i="2"/>
  <c r="S19" i="2"/>
  <c r="S18" i="2"/>
  <c r="U20" i="2"/>
  <c r="U19" i="2"/>
  <c r="U18" i="2"/>
  <c r="V19" i="2"/>
  <c r="V18" i="2"/>
  <c r="AD5" i="3"/>
  <c r="AD6" i="3"/>
  <c r="AD7" i="3"/>
  <c r="AD8" i="3"/>
  <c r="AD9" i="3"/>
  <c r="AD10" i="3"/>
  <c r="AD12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2" i="3"/>
  <c r="AD43" i="3"/>
  <c r="AD44" i="3"/>
  <c r="AD45" i="3"/>
  <c r="AD46" i="3"/>
  <c r="AD48" i="3"/>
  <c r="AD50" i="3"/>
  <c r="AD51" i="3"/>
  <c r="AD52" i="3"/>
  <c r="AD53" i="3"/>
  <c r="AD54" i="3"/>
  <c r="AD55" i="3"/>
  <c r="AD56" i="3"/>
  <c r="AD57" i="3"/>
  <c r="AD58" i="3"/>
  <c r="AD60" i="3"/>
  <c r="AD61" i="3"/>
  <c r="AD62" i="3"/>
  <c r="AD63" i="3"/>
  <c r="AD64" i="3"/>
  <c r="AD65" i="3"/>
  <c r="AD66" i="3"/>
  <c r="AD67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9" i="3"/>
  <c r="AD130" i="3"/>
  <c r="AD131" i="3"/>
  <c r="AD132" i="3"/>
  <c r="AD133" i="3"/>
  <c r="AD134" i="3"/>
  <c r="AD136" i="3"/>
  <c r="AD137" i="3"/>
  <c r="AD138" i="3"/>
  <c r="AD140" i="3"/>
  <c r="AD141" i="3"/>
  <c r="AD142" i="3"/>
  <c r="AD143" i="3"/>
  <c r="AD144" i="3"/>
  <c r="AD145" i="3"/>
  <c r="AD146" i="3"/>
  <c r="AD147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2" i="3"/>
  <c r="AK43" i="3"/>
  <c r="AK44" i="3"/>
  <c r="AK45" i="3"/>
  <c r="AK46" i="3"/>
  <c r="AK47" i="3"/>
  <c r="AK48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9" i="3"/>
  <c r="AK130" i="3"/>
  <c r="AK131" i="3"/>
  <c r="AK132" i="3"/>
  <c r="AK133" i="3"/>
  <c r="AK134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2" i="3"/>
  <c r="AK203" i="3"/>
  <c r="AK204" i="3"/>
  <c r="AK205" i="3"/>
  <c r="AK206" i="3"/>
  <c r="AK207" i="3"/>
  <c r="AK209" i="3"/>
  <c r="AK210" i="3"/>
  <c r="AK211" i="3"/>
  <c r="AK212" i="3"/>
  <c r="AK4" i="3"/>
  <c r="AC5" i="3"/>
  <c r="AC6" i="3"/>
  <c r="AC8" i="3"/>
  <c r="AC9" i="3"/>
  <c r="AC12" i="3"/>
  <c r="AC16" i="3"/>
  <c r="AC17" i="3"/>
  <c r="AC18" i="3"/>
  <c r="AC19" i="3"/>
  <c r="AC20" i="3"/>
  <c r="AC21" i="3"/>
  <c r="AC22" i="3"/>
  <c r="AC23" i="3"/>
  <c r="AC24" i="3"/>
  <c r="AC27" i="3"/>
  <c r="AC30" i="3"/>
  <c r="AC31" i="3"/>
  <c r="AC32" i="3"/>
  <c r="AC33" i="3"/>
  <c r="AC36" i="3"/>
  <c r="AC37" i="3"/>
  <c r="AC39" i="3"/>
  <c r="AC40" i="3"/>
  <c r="AC42" i="3"/>
  <c r="AC43" i="3"/>
  <c r="AC44" i="3"/>
  <c r="AC46" i="3"/>
  <c r="AC48" i="3"/>
  <c r="AC50" i="3"/>
  <c r="AC51" i="3"/>
  <c r="AC52" i="3"/>
  <c r="AC53" i="3"/>
  <c r="AC55" i="3"/>
  <c r="AC56" i="3"/>
  <c r="AC57" i="3"/>
  <c r="AC58" i="3"/>
  <c r="AC60" i="3"/>
  <c r="AC62" i="3"/>
  <c r="AC63" i="3"/>
  <c r="AC64" i="3"/>
  <c r="AC65" i="3"/>
  <c r="AC66" i="3"/>
  <c r="AC69" i="3"/>
  <c r="AC70" i="3"/>
  <c r="AC71" i="3"/>
  <c r="AC72" i="3"/>
  <c r="AC74" i="3"/>
  <c r="AC75" i="3"/>
  <c r="AC76" i="3"/>
  <c r="AC78" i="3"/>
  <c r="AC80" i="3"/>
  <c r="AC81" i="3"/>
  <c r="AC82" i="3"/>
  <c r="AC83" i="3"/>
  <c r="AC84" i="3"/>
  <c r="AC86" i="3"/>
  <c r="AC88" i="3"/>
  <c r="AC89" i="3"/>
  <c r="AC90" i="3"/>
  <c r="AC91" i="3"/>
  <c r="AC92" i="3"/>
  <c r="AC94" i="3"/>
  <c r="AC95" i="3"/>
  <c r="AC96" i="3"/>
  <c r="AC99" i="3"/>
  <c r="AC100" i="3"/>
  <c r="AC101" i="3"/>
  <c r="AC102" i="3"/>
  <c r="AC104" i="3"/>
  <c r="AC105" i="3"/>
  <c r="AC107" i="3"/>
  <c r="AC108" i="3"/>
  <c r="AC109" i="3"/>
  <c r="AC110" i="3"/>
  <c r="AC111" i="3"/>
  <c r="AC112" i="3"/>
  <c r="AC114" i="3"/>
  <c r="AC116" i="3"/>
  <c r="AC117" i="3"/>
  <c r="AC118" i="3"/>
  <c r="AC119" i="3"/>
  <c r="AC121" i="3"/>
  <c r="AC123" i="3"/>
  <c r="AC124" i="3"/>
  <c r="AC126" i="3"/>
  <c r="AC127" i="3"/>
  <c r="AC129" i="3"/>
  <c r="AC130" i="3"/>
  <c r="AC132" i="3"/>
  <c r="AC133" i="3"/>
  <c r="AC134" i="3"/>
  <c r="AC136" i="3"/>
  <c r="AC138" i="3"/>
  <c r="AC140" i="3"/>
  <c r="AC142" i="3"/>
  <c r="AC144" i="3"/>
  <c r="AC145" i="3"/>
  <c r="AC146" i="3"/>
  <c r="AC150" i="3"/>
  <c r="AC151" i="3"/>
  <c r="AC152" i="3"/>
  <c r="AC153" i="3"/>
  <c r="AC154" i="3"/>
  <c r="AC155" i="3"/>
  <c r="AC157" i="3"/>
  <c r="AC158" i="3"/>
  <c r="AC160" i="3"/>
  <c r="AC161" i="3"/>
  <c r="AC163" i="3"/>
  <c r="AC164" i="3"/>
  <c r="AC165" i="3"/>
  <c r="AC167" i="3"/>
  <c r="AC168" i="3"/>
  <c r="AC169" i="3"/>
  <c r="AC171" i="3"/>
  <c r="AC173" i="3"/>
  <c r="AC175" i="3"/>
  <c r="AC177" i="3"/>
  <c r="AC179" i="3"/>
  <c r="AC185" i="3"/>
  <c r="AC187" i="3"/>
  <c r="AC189" i="3"/>
  <c r="AC190" i="3"/>
  <c r="AC191" i="3"/>
  <c r="AC192" i="3"/>
  <c r="AC195" i="3"/>
  <c r="AC196" i="3"/>
  <c r="AC197" i="3"/>
  <c r="AC198" i="3"/>
  <c r="AC199" i="3"/>
  <c r="AC200" i="3"/>
  <c r="AC203" i="3"/>
  <c r="AC204" i="3"/>
  <c r="AC205" i="3"/>
  <c r="AC206" i="3"/>
  <c r="AC207" i="3"/>
  <c r="AC208" i="3"/>
  <c r="AC209" i="3"/>
  <c r="AC210" i="3"/>
  <c r="AC211" i="3"/>
  <c r="AC212" i="3"/>
  <c r="AC213" i="3"/>
  <c r="AC4" i="3"/>
  <c r="M29" i="3"/>
  <c r="N29" i="3" s="1"/>
  <c r="M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7" i="3"/>
  <c r="U158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202" i="3"/>
  <c r="U203" i="3"/>
  <c r="U204" i="3"/>
  <c r="U205" i="3"/>
  <c r="U206" i="3"/>
  <c r="U207" i="3"/>
  <c r="U208" i="3"/>
  <c r="U209" i="3"/>
  <c r="U210" i="3"/>
  <c r="U211" i="3"/>
  <c r="U212" i="3"/>
  <c r="U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30" i="3"/>
  <c r="N31" i="3"/>
  <c r="N32" i="3"/>
  <c r="N33" i="3"/>
  <c r="N34" i="3"/>
  <c r="N35" i="3"/>
  <c r="N36" i="3"/>
  <c r="N38" i="3"/>
  <c r="N39" i="3"/>
  <c r="N40" i="3"/>
  <c r="N41" i="3"/>
  <c r="N42" i="3"/>
  <c r="N43" i="3"/>
  <c r="N44" i="3"/>
  <c r="N45" i="3"/>
  <c r="N46" i="3"/>
  <c r="N47" i="3"/>
  <c r="N48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6" i="3"/>
  <c r="M30" i="3"/>
  <c r="M31" i="3"/>
  <c r="M32" i="3"/>
  <c r="M33" i="3"/>
  <c r="M34" i="3"/>
  <c r="M36" i="3"/>
  <c r="M39" i="3"/>
  <c r="M41" i="3"/>
  <c r="M42" i="3"/>
  <c r="M43" i="3"/>
  <c r="M47" i="3"/>
  <c r="M48" i="3"/>
  <c r="M50" i="3"/>
  <c r="M51" i="3"/>
  <c r="M52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3" i="3"/>
  <c r="M74" i="3"/>
  <c r="M75" i="3"/>
  <c r="M77" i="3"/>
  <c r="M78" i="3"/>
  <c r="M80" i="3"/>
  <c r="M82" i="3"/>
  <c r="M83" i="3"/>
  <c r="M84" i="3"/>
  <c r="M85" i="3"/>
  <c r="M86" i="3"/>
  <c r="M87" i="3"/>
  <c r="M88" i="3"/>
  <c r="M89" i="3"/>
  <c r="M90" i="3"/>
  <c r="M91" i="3"/>
  <c r="M94" i="3"/>
  <c r="M95" i="3"/>
  <c r="M96" i="3"/>
  <c r="M97" i="3"/>
  <c r="M98" i="3"/>
  <c r="M99" i="3"/>
  <c r="M100" i="3"/>
  <c r="M101" i="3"/>
  <c r="M104" i="3"/>
  <c r="M106" i="3"/>
  <c r="M107" i="3"/>
  <c r="M108" i="3"/>
  <c r="M109" i="3"/>
  <c r="M110" i="3"/>
  <c r="M112" i="3"/>
  <c r="M113" i="3"/>
  <c r="M114" i="3"/>
  <c r="M115" i="3"/>
  <c r="M116" i="3"/>
  <c r="M117" i="3"/>
  <c r="M118" i="3"/>
  <c r="M119" i="3"/>
  <c r="M121" i="3"/>
  <c r="M122" i="3"/>
  <c r="M123" i="3"/>
  <c r="M125" i="3"/>
  <c r="M126" i="3"/>
  <c r="M127" i="3"/>
  <c r="M129" i="3"/>
  <c r="M131" i="3"/>
  <c r="M132" i="3"/>
  <c r="M133" i="3"/>
  <c r="M134" i="3"/>
  <c r="M136" i="3"/>
  <c r="M138" i="3"/>
  <c r="M139" i="3"/>
  <c r="M140" i="3"/>
  <c r="M141" i="3"/>
  <c r="M143" i="3"/>
  <c r="M144" i="3"/>
  <c r="M147" i="3"/>
  <c r="M148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7" i="3"/>
  <c r="M179" i="3"/>
  <c r="M180" i="3"/>
  <c r="M182" i="3"/>
  <c r="M183" i="3"/>
  <c r="M184" i="3"/>
  <c r="M185" i="3"/>
  <c r="M187" i="3"/>
  <c r="M189" i="3"/>
  <c r="M190" i="3"/>
  <c r="M191" i="3"/>
  <c r="M193" i="3"/>
  <c r="M195" i="3"/>
  <c r="M196" i="3"/>
  <c r="M197" i="3"/>
  <c r="M198" i="3"/>
  <c r="M199" i="3"/>
  <c r="M201" i="3"/>
  <c r="M202" i="3"/>
  <c r="M203" i="3"/>
  <c r="M205" i="3"/>
  <c r="M207" i="3"/>
  <c r="M208" i="3"/>
  <c r="M209" i="3"/>
  <c r="M210" i="3"/>
  <c r="M211" i="3"/>
  <c r="M212" i="3"/>
  <c r="AE5" i="3"/>
  <c r="AE6" i="3"/>
  <c r="AE7" i="3"/>
  <c r="AE8" i="3"/>
  <c r="AE9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40" i="3"/>
  <c r="AE42" i="3"/>
  <c r="AE43" i="3"/>
  <c r="AE44" i="3"/>
  <c r="AE45" i="3"/>
  <c r="AE46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9" i="3"/>
  <c r="AE70" i="3"/>
  <c r="AE71" i="3"/>
  <c r="AE72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40" i="3"/>
  <c r="AE141" i="3"/>
  <c r="AE142" i="3"/>
  <c r="AE143" i="3"/>
  <c r="AE144" i="3"/>
  <c r="AE145" i="3"/>
  <c r="AE146" i="3"/>
  <c r="AE147" i="3"/>
  <c r="AE149" i="3"/>
  <c r="AE150" i="3"/>
  <c r="AE151" i="3"/>
  <c r="AE152" i="3"/>
  <c r="AE153" i="3"/>
  <c r="AE154" i="3"/>
  <c r="AE155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1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4" i="3"/>
  <c r="W5" i="3"/>
  <c r="W6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40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O115" i="3"/>
  <c r="O5" i="3"/>
  <c r="O6" i="3"/>
  <c r="O7" i="3"/>
  <c r="O8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40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10" i="3"/>
  <c r="O111" i="3"/>
  <c r="O112" i="3"/>
  <c r="O113" i="3"/>
  <c r="O116" i="3"/>
  <c r="O117" i="3"/>
  <c r="O118" i="3"/>
  <c r="O119" i="3"/>
  <c r="O120" i="3"/>
  <c r="O121" i="3"/>
  <c r="O122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W4" i="3"/>
  <c r="O4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G4" i="3"/>
  <c r="F4" i="3"/>
  <c r="E4" i="3"/>
  <c r="M219" i="1"/>
  <c r="N219" i="1"/>
  <c r="O219" i="1"/>
  <c r="M220" i="1"/>
  <c r="N220" i="1"/>
  <c r="O220" i="1"/>
  <c r="M221" i="1"/>
  <c r="N221" i="1"/>
  <c r="O221" i="1"/>
  <c r="M222" i="1"/>
  <c r="N222" i="1"/>
  <c r="O222" i="1"/>
  <c r="M223" i="1"/>
  <c r="N223" i="1"/>
  <c r="O223" i="1"/>
  <c r="M224" i="1"/>
  <c r="N224" i="1"/>
  <c r="O224" i="1"/>
  <c r="M225" i="1"/>
  <c r="N225" i="1"/>
  <c r="O225" i="1"/>
  <c r="M226" i="1"/>
  <c r="N226" i="1"/>
  <c r="O226" i="1"/>
  <c r="M227" i="1"/>
  <c r="N227" i="1"/>
  <c r="O227" i="1"/>
  <c r="M228" i="1"/>
  <c r="N228" i="1"/>
  <c r="O228" i="1"/>
  <c r="M229" i="1"/>
  <c r="N229" i="1"/>
  <c r="O229" i="1"/>
  <c r="M230" i="1"/>
  <c r="N230" i="1"/>
  <c r="O230" i="1"/>
  <c r="M231" i="1"/>
  <c r="N231" i="1"/>
  <c r="O231" i="1"/>
  <c r="M232" i="1"/>
  <c r="N232" i="1"/>
  <c r="O232" i="1"/>
  <c r="M233" i="1"/>
  <c r="N233" i="1"/>
  <c r="O233" i="1"/>
  <c r="M234" i="1"/>
  <c r="N234" i="1"/>
  <c r="O234" i="1"/>
  <c r="M235" i="1"/>
  <c r="N235" i="1"/>
  <c r="O235" i="1"/>
  <c r="M236" i="1"/>
  <c r="N236" i="1"/>
  <c r="O236" i="1"/>
  <c r="M237" i="1"/>
  <c r="N237" i="1"/>
  <c r="O237" i="1"/>
  <c r="M238" i="1"/>
  <c r="N238" i="1"/>
  <c r="O238" i="1"/>
  <c r="M239" i="1"/>
  <c r="N239" i="1"/>
  <c r="O239" i="1"/>
  <c r="M240" i="1"/>
  <c r="N240" i="1"/>
  <c r="O240" i="1"/>
  <c r="M241" i="1"/>
  <c r="N241" i="1"/>
  <c r="O241" i="1"/>
  <c r="M242" i="1"/>
  <c r="N242" i="1"/>
  <c r="O242" i="1"/>
  <c r="M243" i="1"/>
  <c r="N243" i="1"/>
  <c r="O243" i="1"/>
  <c r="M244" i="1"/>
  <c r="N244" i="1"/>
  <c r="O244" i="1"/>
  <c r="M246" i="1"/>
  <c r="N246" i="1"/>
  <c r="O246" i="1"/>
  <c r="M247" i="1"/>
  <c r="N247" i="1"/>
  <c r="O247" i="1"/>
  <c r="M248" i="1"/>
  <c r="N248" i="1"/>
  <c r="O248" i="1"/>
  <c r="M249" i="1"/>
  <c r="N249" i="1"/>
  <c r="O249" i="1"/>
  <c r="M250" i="1"/>
  <c r="N250" i="1"/>
  <c r="O250" i="1"/>
  <c r="M252" i="1"/>
  <c r="N252" i="1"/>
  <c r="O252" i="1"/>
  <c r="M253" i="1"/>
  <c r="N253" i="1"/>
  <c r="O253" i="1"/>
  <c r="M254" i="1"/>
  <c r="N254" i="1"/>
  <c r="O254" i="1"/>
  <c r="M255" i="1"/>
  <c r="N255" i="1"/>
  <c r="O255" i="1"/>
  <c r="M256" i="1"/>
  <c r="N256" i="1"/>
  <c r="O256" i="1"/>
  <c r="M257" i="1"/>
  <c r="N257" i="1"/>
  <c r="O257" i="1"/>
  <c r="M258" i="1"/>
  <c r="N258" i="1"/>
  <c r="O258" i="1"/>
  <c r="M259" i="1"/>
  <c r="N259" i="1"/>
  <c r="O259" i="1"/>
  <c r="M261" i="1"/>
  <c r="N261" i="1"/>
  <c r="O261" i="1"/>
  <c r="M262" i="1"/>
  <c r="N262" i="1"/>
  <c r="O262" i="1"/>
  <c r="M264" i="1"/>
  <c r="N264" i="1"/>
  <c r="O264" i="1"/>
  <c r="M265" i="1"/>
  <c r="N265" i="1"/>
  <c r="O265" i="1"/>
  <c r="M266" i="1"/>
  <c r="N266" i="1"/>
  <c r="O266" i="1"/>
  <c r="M267" i="1"/>
  <c r="N267" i="1"/>
  <c r="O267" i="1"/>
  <c r="M268" i="1"/>
  <c r="N268" i="1"/>
  <c r="O268" i="1"/>
  <c r="M269" i="1"/>
  <c r="N269" i="1"/>
  <c r="O269" i="1"/>
  <c r="M270" i="1"/>
  <c r="N270" i="1"/>
  <c r="O270" i="1"/>
  <c r="M271" i="1"/>
  <c r="N271" i="1"/>
  <c r="O271" i="1"/>
  <c r="M272" i="1"/>
  <c r="N272" i="1"/>
  <c r="O272" i="1"/>
  <c r="M273" i="1"/>
  <c r="N273" i="1"/>
  <c r="O273" i="1"/>
  <c r="M274" i="1"/>
  <c r="N274" i="1"/>
  <c r="O274" i="1"/>
  <c r="M275" i="1"/>
  <c r="N275" i="1"/>
  <c r="O275" i="1"/>
  <c r="M276" i="1"/>
  <c r="N276" i="1"/>
  <c r="O276" i="1"/>
  <c r="M277" i="1"/>
  <c r="N277" i="1"/>
  <c r="O277" i="1"/>
  <c r="M278" i="1"/>
  <c r="N278" i="1"/>
  <c r="O278" i="1"/>
  <c r="M279" i="1"/>
  <c r="N279" i="1"/>
  <c r="O279" i="1"/>
  <c r="M280" i="1"/>
  <c r="N280" i="1"/>
  <c r="O280" i="1"/>
  <c r="M281" i="1"/>
  <c r="N281" i="1"/>
  <c r="O281" i="1"/>
  <c r="M282" i="1"/>
  <c r="N282" i="1"/>
  <c r="O282" i="1"/>
  <c r="M283" i="1"/>
  <c r="N283" i="1"/>
  <c r="O283" i="1"/>
  <c r="M284" i="1"/>
  <c r="N284" i="1"/>
  <c r="O284" i="1"/>
  <c r="M285" i="1"/>
  <c r="N285" i="1"/>
  <c r="O285" i="1"/>
  <c r="M286" i="1"/>
  <c r="N286" i="1"/>
  <c r="O286" i="1"/>
  <c r="M287" i="1"/>
  <c r="N287" i="1"/>
  <c r="O287" i="1"/>
  <c r="M289" i="1"/>
  <c r="N289" i="1"/>
  <c r="O289" i="1"/>
  <c r="M290" i="1"/>
  <c r="N290" i="1"/>
  <c r="O290" i="1"/>
  <c r="M291" i="1"/>
  <c r="N291" i="1"/>
  <c r="O291" i="1"/>
  <c r="M292" i="1"/>
  <c r="N292" i="1"/>
  <c r="O292" i="1"/>
  <c r="M293" i="1"/>
  <c r="N293" i="1"/>
  <c r="O293" i="1"/>
  <c r="M294" i="1"/>
  <c r="N294" i="1"/>
  <c r="O294" i="1"/>
  <c r="M295" i="1"/>
  <c r="N295" i="1"/>
  <c r="O295" i="1"/>
  <c r="M296" i="1"/>
  <c r="N296" i="1"/>
  <c r="O296" i="1"/>
  <c r="M297" i="1"/>
  <c r="N297" i="1"/>
  <c r="O297" i="1"/>
  <c r="M298" i="1"/>
  <c r="N298" i="1"/>
  <c r="O298" i="1"/>
  <c r="M299" i="1"/>
  <c r="N299" i="1"/>
  <c r="O299" i="1"/>
  <c r="M300" i="1"/>
  <c r="N300" i="1"/>
  <c r="O300" i="1"/>
  <c r="M301" i="1"/>
  <c r="N301" i="1"/>
  <c r="O301" i="1"/>
  <c r="M302" i="1"/>
  <c r="N302" i="1"/>
  <c r="O302" i="1"/>
  <c r="M303" i="1"/>
  <c r="N303" i="1"/>
  <c r="O303" i="1"/>
  <c r="M304" i="1"/>
  <c r="N304" i="1"/>
  <c r="O304" i="1"/>
  <c r="M305" i="1"/>
  <c r="N305" i="1"/>
  <c r="O305" i="1"/>
  <c r="M306" i="1"/>
  <c r="N306" i="1"/>
  <c r="O306" i="1"/>
  <c r="M307" i="1"/>
  <c r="N307" i="1"/>
  <c r="O307" i="1"/>
  <c r="M308" i="1"/>
  <c r="N308" i="1"/>
  <c r="O308" i="1"/>
  <c r="M309" i="1"/>
  <c r="N309" i="1"/>
  <c r="O309" i="1"/>
  <c r="M310" i="1"/>
  <c r="N310" i="1"/>
  <c r="O310" i="1"/>
  <c r="M311" i="1"/>
  <c r="N311" i="1"/>
  <c r="O311" i="1"/>
  <c r="M312" i="1"/>
  <c r="N312" i="1"/>
  <c r="O312" i="1"/>
  <c r="M313" i="1"/>
  <c r="N313" i="1"/>
  <c r="O313" i="1"/>
  <c r="M314" i="1"/>
  <c r="N314" i="1"/>
  <c r="O314" i="1"/>
  <c r="M315" i="1"/>
  <c r="N315" i="1"/>
  <c r="O315" i="1"/>
  <c r="M316" i="1"/>
  <c r="N316" i="1"/>
  <c r="O316" i="1"/>
  <c r="M317" i="1"/>
  <c r="N317" i="1"/>
  <c r="O317" i="1"/>
  <c r="M318" i="1"/>
  <c r="N318" i="1"/>
  <c r="O318" i="1"/>
  <c r="M319" i="1"/>
  <c r="N319" i="1"/>
  <c r="O319" i="1"/>
  <c r="M320" i="1"/>
  <c r="N320" i="1"/>
  <c r="O320" i="1"/>
  <c r="M321" i="1"/>
  <c r="N321" i="1"/>
  <c r="O321" i="1"/>
  <c r="M322" i="1"/>
  <c r="N322" i="1"/>
  <c r="O322" i="1"/>
  <c r="M323" i="1"/>
  <c r="N323" i="1"/>
  <c r="O323" i="1"/>
  <c r="M324" i="1"/>
  <c r="N324" i="1"/>
  <c r="O324" i="1"/>
  <c r="M325" i="1"/>
  <c r="N325" i="1"/>
  <c r="O325" i="1"/>
  <c r="M326" i="1"/>
  <c r="N326" i="1"/>
  <c r="O326" i="1"/>
  <c r="M327" i="1"/>
  <c r="N327" i="1"/>
  <c r="O327" i="1"/>
  <c r="M328" i="1"/>
  <c r="N328" i="1"/>
  <c r="O328" i="1"/>
  <c r="M329" i="1"/>
  <c r="N329" i="1"/>
  <c r="O329" i="1"/>
  <c r="M330" i="1"/>
  <c r="N330" i="1"/>
  <c r="O330" i="1"/>
  <c r="M331" i="1"/>
  <c r="N331" i="1"/>
  <c r="O331" i="1"/>
  <c r="M332" i="1"/>
  <c r="N332" i="1"/>
  <c r="O332" i="1"/>
  <c r="M333" i="1"/>
  <c r="N333" i="1"/>
  <c r="O333" i="1"/>
  <c r="M334" i="1"/>
  <c r="N334" i="1"/>
  <c r="O334" i="1"/>
  <c r="M335" i="1"/>
  <c r="N335" i="1"/>
  <c r="O335" i="1"/>
  <c r="M336" i="1"/>
  <c r="N336" i="1"/>
  <c r="O336" i="1"/>
  <c r="M337" i="1"/>
  <c r="N337" i="1"/>
  <c r="O337" i="1"/>
  <c r="M338" i="1"/>
  <c r="N338" i="1"/>
  <c r="O338" i="1"/>
  <c r="M339" i="1"/>
  <c r="N339" i="1"/>
  <c r="O339" i="1"/>
  <c r="M340" i="1"/>
  <c r="N340" i="1"/>
  <c r="O340" i="1"/>
  <c r="M341" i="1"/>
  <c r="N341" i="1"/>
  <c r="O341" i="1"/>
  <c r="M343" i="1"/>
  <c r="N343" i="1"/>
  <c r="O343" i="1"/>
  <c r="M345" i="1"/>
  <c r="N345" i="1"/>
  <c r="O345" i="1"/>
  <c r="M346" i="1"/>
  <c r="N346" i="1"/>
  <c r="O346" i="1"/>
  <c r="M347" i="1"/>
  <c r="N347" i="1"/>
  <c r="O347" i="1"/>
  <c r="M348" i="1"/>
  <c r="N348" i="1"/>
  <c r="O348" i="1"/>
  <c r="M350" i="1"/>
  <c r="N350" i="1"/>
  <c r="O350" i="1"/>
  <c r="M351" i="1"/>
  <c r="N351" i="1"/>
  <c r="O351" i="1"/>
  <c r="M352" i="1"/>
  <c r="N352" i="1"/>
  <c r="O352" i="1"/>
  <c r="M353" i="1"/>
  <c r="N353" i="1"/>
  <c r="O353" i="1"/>
  <c r="M354" i="1"/>
  <c r="N354" i="1"/>
  <c r="O354" i="1"/>
  <c r="M355" i="1"/>
  <c r="N355" i="1"/>
  <c r="O355" i="1"/>
  <c r="M356" i="1"/>
  <c r="N356" i="1"/>
  <c r="O356" i="1"/>
  <c r="M357" i="1"/>
  <c r="N357" i="1"/>
  <c r="O357" i="1"/>
  <c r="M358" i="1"/>
  <c r="N358" i="1"/>
  <c r="O358" i="1"/>
  <c r="M360" i="1"/>
  <c r="N360" i="1"/>
  <c r="O360" i="1"/>
  <c r="M361" i="1"/>
  <c r="N361" i="1"/>
  <c r="O361" i="1"/>
  <c r="M362" i="1"/>
  <c r="N362" i="1"/>
  <c r="O362" i="1"/>
  <c r="M363" i="1"/>
  <c r="N363" i="1"/>
  <c r="O363" i="1"/>
  <c r="M364" i="1"/>
  <c r="N364" i="1"/>
  <c r="O364" i="1"/>
  <c r="M365" i="1"/>
  <c r="N365" i="1"/>
  <c r="O365" i="1"/>
  <c r="M366" i="1"/>
  <c r="N366" i="1"/>
  <c r="O366" i="1"/>
  <c r="M367" i="1"/>
  <c r="N367" i="1"/>
  <c r="O367" i="1"/>
  <c r="M368" i="1"/>
  <c r="N368" i="1"/>
  <c r="O368" i="1"/>
  <c r="M369" i="1"/>
  <c r="N369" i="1"/>
  <c r="O369" i="1"/>
  <c r="M370" i="1"/>
  <c r="N370" i="1"/>
  <c r="O370" i="1"/>
  <c r="M371" i="1"/>
  <c r="N371" i="1"/>
  <c r="O371" i="1"/>
  <c r="M372" i="1"/>
  <c r="N372" i="1"/>
  <c r="O372" i="1"/>
  <c r="M373" i="1"/>
  <c r="N373" i="1"/>
  <c r="O373" i="1"/>
  <c r="M374" i="1"/>
  <c r="N374" i="1"/>
  <c r="O374" i="1"/>
  <c r="M375" i="1"/>
  <c r="N375" i="1"/>
  <c r="O375" i="1"/>
  <c r="M376" i="1"/>
  <c r="N376" i="1"/>
  <c r="O376" i="1"/>
  <c r="M377" i="1"/>
  <c r="N377" i="1"/>
  <c r="O377" i="1"/>
  <c r="M378" i="1"/>
  <c r="N378" i="1"/>
  <c r="O378" i="1"/>
  <c r="M379" i="1"/>
  <c r="N379" i="1"/>
  <c r="O379" i="1"/>
  <c r="M380" i="1"/>
  <c r="N380" i="1"/>
  <c r="O380" i="1"/>
  <c r="M381" i="1"/>
  <c r="N381" i="1"/>
  <c r="O381" i="1"/>
  <c r="M382" i="1"/>
  <c r="N382" i="1"/>
  <c r="O382" i="1"/>
  <c r="M383" i="1"/>
  <c r="N383" i="1"/>
  <c r="O383" i="1"/>
  <c r="M384" i="1"/>
  <c r="N384" i="1"/>
  <c r="O384" i="1"/>
  <c r="M385" i="1"/>
  <c r="N385" i="1"/>
  <c r="O385" i="1"/>
  <c r="M386" i="1"/>
  <c r="N386" i="1"/>
  <c r="O386" i="1"/>
  <c r="M387" i="1"/>
  <c r="N387" i="1"/>
  <c r="O387" i="1"/>
  <c r="M388" i="1"/>
  <c r="N388" i="1"/>
  <c r="O388" i="1"/>
  <c r="M389" i="1"/>
  <c r="N389" i="1"/>
  <c r="O389" i="1"/>
  <c r="M390" i="1"/>
  <c r="N390" i="1"/>
  <c r="O390" i="1"/>
  <c r="M392" i="1"/>
  <c r="N392" i="1"/>
  <c r="O392" i="1"/>
  <c r="M393" i="1"/>
  <c r="N393" i="1"/>
  <c r="O393" i="1"/>
  <c r="M394" i="1"/>
  <c r="N394" i="1"/>
  <c r="O394" i="1"/>
  <c r="M395" i="1"/>
  <c r="N395" i="1"/>
  <c r="O395" i="1"/>
  <c r="M396" i="1"/>
  <c r="N396" i="1"/>
  <c r="O396" i="1"/>
  <c r="M397" i="1"/>
  <c r="N397" i="1"/>
  <c r="O397" i="1"/>
  <c r="M398" i="1"/>
  <c r="N398" i="1"/>
  <c r="O398" i="1"/>
  <c r="M399" i="1"/>
  <c r="N399" i="1"/>
  <c r="O399" i="1"/>
  <c r="M400" i="1"/>
  <c r="N400" i="1"/>
  <c r="O400" i="1"/>
  <c r="M401" i="1"/>
  <c r="N401" i="1"/>
  <c r="O401" i="1"/>
  <c r="M402" i="1"/>
  <c r="N402" i="1"/>
  <c r="O402" i="1"/>
  <c r="M403" i="1"/>
  <c r="N403" i="1"/>
  <c r="O403" i="1"/>
  <c r="M404" i="1"/>
  <c r="N404" i="1"/>
  <c r="O404" i="1"/>
  <c r="M405" i="1"/>
  <c r="N405" i="1"/>
  <c r="O405" i="1"/>
  <c r="M406" i="1"/>
  <c r="N406" i="1"/>
  <c r="O406" i="1"/>
  <c r="M407" i="1"/>
  <c r="N407" i="1"/>
  <c r="O407" i="1"/>
  <c r="M408" i="1"/>
  <c r="N408" i="1"/>
  <c r="O408" i="1"/>
  <c r="M409" i="1"/>
  <c r="N409" i="1"/>
  <c r="O409" i="1"/>
  <c r="M410" i="1"/>
  <c r="N410" i="1"/>
  <c r="O410" i="1"/>
  <c r="M411" i="1"/>
  <c r="N411" i="1"/>
  <c r="O411" i="1"/>
  <c r="M412" i="1"/>
  <c r="N412" i="1"/>
  <c r="O412" i="1"/>
  <c r="M413" i="1"/>
  <c r="N413" i="1"/>
  <c r="O413" i="1"/>
  <c r="M414" i="1"/>
  <c r="N414" i="1"/>
  <c r="O414" i="1"/>
  <c r="M415" i="1"/>
  <c r="N415" i="1"/>
  <c r="O415" i="1"/>
  <c r="M416" i="1"/>
  <c r="N416" i="1"/>
  <c r="O416" i="1"/>
  <c r="M417" i="1"/>
  <c r="N417" i="1"/>
  <c r="O417" i="1"/>
  <c r="M418" i="1"/>
  <c r="N418" i="1"/>
  <c r="O418" i="1"/>
  <c r="M419" i="1"/>
  <c r="N419" i="1"/>
  <c r="O419" i="1"/>
  <c r="M420" i="1"/>
  <c r="N420" i="1"/>
  <c r="O420" i="1"/>
  <c r="M421" i="1"/>
  <c r="N421" i="1"/>
  <c r="O421" i="1"/>
  <c r="M422" i="1"/>
  <c r="N422" i="1"/>
  <c r="O422" i="1"/>
  <c r="M423" i="1"/>
  <c r="N423" i="1"/>
  <c r="O423" i="1"/>
  <c r="M424" i="1"/>
  <c r="N424" i="1"/>
  <c r="O424" i="1"/>
  <c r="M425" i="1"/>
  <c r="N425" i="1"/>
  <c r="O425" i="1"/>
  <c r="M426" i="1"/>
  <c r="N426" i="1"/>
  <c r="O426" i="1"/>
  <c r="M427" i="1"/>
  <c r="N427" i="1"/>
  <c r="O427" i="1"/>
  <c r="U219" i="1"/>
  <c r="V219" i="1"/>
  <c r="W219" i="1"/>
  <c r="U220" i="1"/>
  <c r="V220" i="1"/>
  <c r="W220" i="1"/>
  <c r="U221" i="1"/>
  <c r="V221" i="1"/>
  <c r="W221" i="1"/>
  <c r="U222" i="1"/>
  <c r="V222" i="1"/>
  <c r="W222" i="1"/>
  <c r="U223" i="1"/>
  <c r="V223" i="1"/>
  <c r="W223" i="1"/>
  <c r="U224" i="1"/>
  <c r="V224" i="1"/>
  <c r="W224" i="1"/>
  <c r="U225" i="1"/>
  <c r="V225" i="1"/>
  <c r="W225" i="1"/>
  <c r="U226" i="1"/>
  <c r="V226" i="1"/>
  <c r="W226" i="1"/>
  <c r="U227" i="1"/>
  <c r="V227" i="1"/>
  <c r="W227" i="1"/>
  <c r="U228" i="1"/>
  <c r="V228" i="1"/>
  <c r="W228" i="1"/>
  <c r="U229" i="1"/>
  <c r="V229" i="1"/>
  <c r="W229" i="1"/>
  <c r="U230" i="1"/>
  <c r="V230" i="1"/>
  <c r="W230" i="1"/>
  <c r="U231" i="1"/>
  <c r="V231" i="1"/>
  <c r="W231" i="1"/>
  <c r="U232" i="1"/>
  <c r="V232" i="1"/>
  <c r="W232" i="1"/>
  <c r="U233" i="1"/>
  <c r="V233" i="1"/>
  <c r="W233" i="1"/>
  <c r="U234" i="1"/>
  <c r="V234" i="1"/>
  <c r="W234" i="1"/>
  <c r="U235" i="1"/>
  <c r="V235" i="1"/>
  <c r="W235" i="1"/>
  <c r="U236" i="1"/>
  <c r="V236" i="1"/>
  <c r="W236" i="1"/>
  <c r="U237" i="1"/>
  <c r="V237" i="1"/>
  <c r="W237" i="1"/>
  <c r="U238" i="1"/>
  <c r="V238" i="1"/>
  <c r="W238" i="1"/>
  <c r="U239" i="1"/>
  <c r="V239" i="1"/>
  <c r="W239" i="1"/>
  <c r="U240" i="1"/>
  <c r="V240" i="1"/>
  <c r="W240" i="1"/>
  <c r="U241" i="1"/>
  <c r="V241" i="1"/>
  <c r="W241" i="1"/>
  <c r="U242" i="1"/>
  <c r="V242" i="1"/>
  <c r="W242" i="1"/>
  <c r="U243" i="1"/>
  <c r="V243" i="1"/>
  <c r="W243" i="1"/>
  <c r="U244" i="1"/>
  <c r="V244" i="1"/>
  <c r="W244" i="1"/>
  <c r="U245" i="1"/>
  <c r="V245" i="1"/>
  <c r="W245" i="1"/>
  <c r="U246" i="1"/>
  <c r="V246" i="1"/>
  <c r="W246" i="1"/>
  <c r="U247" i="1"/>
  <c r="V247" i="1"/>
  <c r="W247" i="1"/>
  <c r="U248" i="1"/>
  <c r="V248" i="1"/>
  <c r="W248" i="1"/>
  <c r="U249" i="1"/>
  <c r="V249" i="1"/>
  <c r="W249" i="1"/>
  <c r="U250" i="1"/>
  <c r="V250" i="1"/>
  <c r="W250" i="1"/>
  <c r="U251" i="1"/>
  <c r="V251" i="1"/>
  <c r="W251" i="1"/>
  <c r="U252" i="1"/>
  <c r="V252" i="1"/>
  <c r="W252" i="1"/>
  <c r="U253" i="1"/>
  <c r="V253" i="1"/>
  <c r="W253" i="1"/>
  <c r="U254" i="1"/>
  <c r="V254" i="1"/>
  <c r="W254" i="1"/>
  <c r="U256" i="1"/>
  <c r="V256" i="1"/>
  <c r="W256" i="1"/>
  <c r="U257" i="1"/>
  <c r="V257" i="1"/>
  <c r="W257" i="1"/>
  <c r="U258" i="1"/>
  <c r="V258" i="1"/>
  <c r="W258" i="1"/>
  <c r="U259" i="1"/>
  <c r="V259" i="1"/>
  <c r="W259" i="1"/>
  <c r="U260" i="1"/>
  <c r="V260" i="1"/>
  <c r="W260" i="1"/>
  <c r="U261" i="1"/>
  <c r="V261" i="1"/>
  <c r="W261" i="1"/>
  <c r="U262" i="1"/>
  <c r="V262" i="1"/>
  <c r="W262" i="1"/>
  <c r="U263" i="1"/>
  <c r="V263" i="1"/>
  <c r="W263" i="1"/>
  <c r="U264" i="1"/>
  <c r="V264" i="1"/>
  <c r="W264" i="1"/>
  <c r="U265" i="1"/>
  <c r="V265" i="1"/>
  <c r="W265" i="1"/>
  <c r="U266" i="1"/>
  <c r="V266" i="1"/>
  <c r="W266" i="1"/>
  <c r="U267" i="1"/>
  <c r="V267" i="1"/>
  <c r="W267" i="1"/>
  <c r="U268" i="1"/>
  <c r="V268" i="1"/>
  <c r="W268" i="1"/>
  <c r="U269" i="1"/>
  <c r="V269" i="1"/>
  <c r="W269" i="1"/>
  <c r="U270" i="1"/>
  <c r="V270" i="1"/>
  <c r="W270" i="1"/>
  <c r="U271" i="1"/>
  <c r="V271" i="1"/>
  <c r="W271" i="1"/>
  <c r="U272" i="1"/>
  <c r="V272" i="1"/>
  <c r="W272" i="1"/>
  <c r="U273" i="1"/>
  <c r="V273" i="1"/>
  <c r="W273" i="1"/>
  <c r="U274" i="1"/>
  <c r="V274" i="1"/>
  <c r="W274" i="1"/>
  <c r="U275" i="1"/>
  <c r="V275" i="1"/>
  <c r="W275" i="1"/>
  <c r="U276" i="1"/>
  <c r="V276" i="1"/>
  <c r="W276" i="1"/>
  <c r="U277" i="1"/>
  <c r="V277" i="1"/>
  <c r="W277" i="1"/>
  <c r="U278" i="1"/>
  <c r="V278" i="1"/>
  <c r="W278" i="1"/>
  <c r="U279" i="1"/>
  <c r="V279" i="1"/>
  <c r="W279" i="1"/>
  <c r="U280" i="1"/>
  <c r="V280" i="1"/>
  <c r="W280" i="1"/>
  <c r="U281" i="1"/>
  <c r="V281" i="1"/>
  <c r="W281" i="1"/>
  <c r="U282" i="1"/>
  <c r="V282" i="1"/>
  <c r="W282" i="1"/>
  <c r="U283" i="1"/>
  <c r="V283" i="1"/>
  <c r="W283" i="1"/>
  <c r="U284" i="1"/>
  <c r="V284" i="1"/>
  <c r="W284" i="1"/>
  <c r="U285" i="1"/>
  <c r="V285" i="1"/>
  <c r="W285" i="1"/>
  <c r="U286" i="1"/>
  <c r="V286" i="1"/>
  <c r="W286" i="1"/>
  <c r="U287" i="1"/>
  <c r="V287" i="1"/>
  <c r="W287" i="1"/>
  <c r="U288" i="1"/>
  <c r="V288" i="1"/>
  <c r="W288" i="1"/>
  <c r="U289" i="1"/>
  <c r="V289" i="1"/>
  <c r="W289" i="1"/>
  <c r="U290" i="1"/>
  <c r="V290" i="1"/>
  <c r="W290" i="1"/>
  <c r="U291" i="1"/>
  <c r="V291" i="1"/>
  <c r="W291" i="1"/>
  <c r="U292" i="1"/>
  <c r="V292" i="1"/>
  <c r="W292" i="1"/>
  <c r="U293" i="1"/>
  <c r="V293" i="1"/>
  <c r="W293" i="1"/>
  <c r="U294" i="1"/>
  <c r="V294" i="1"/>
  <c r="W294" i="1"/>
  <c r="U295" i="1"/>
  <c r="V295" i="1"/>
  <c r="W295" i="1"/>
  <c r="U296" i="1"/>
  <c r="V296" i="1"/>
  <c r="W296" i="1"/>
  <c r="U297" i="1"/>
  <c r="V297" i="1"/>
  <c r="W297" i="1"/>
  <c r="U298" i="1"/>
  <c r="V298" i="1"/>
  <c r="W298" i="1"/>
  <c r="U299" i="1"/>
  <c r="V299" i="1"/>
  <c r="W299" i="1"/>
  <c r="U300" i="1"/>
  <c r="V300" i="1"/>
  <c r="W300" i="1"/>
  <c r="U301" i="1"/>
  <c r="V301" i="1"/>
  <c r="W301" i="1"/>
  <c r="U302" i="1"/>
  <c r="V302" i="1"/>
  <c r="W302" i="1"/>
  <c r="U303" i="1"/>
  <c r="V303" i="1"/>
  <c r="W303" i="1"/>
  <c r="U304" i="1"/>
  <c r="V304" i="1"/>
  <c r="W304" i="1"/>
  <c r="U305" i="1"/>
  <c r="V305" i="1"/>
  <c r="W305" i="1"/>
  <c r="U306" i="1"/>
  <c r="V306" i="1"/>
  <c r="W306" i="1"/>
  <c r="U307" i="1"/>
  <c r="V307" i="1"/>
  <c r="W307" i="1"/>
  <c r="U308" i="1"/>
  <c r="V308" i="1"/>
  <c r="W308" i="1"/>
  <c r="U309" i="1"/>
  <c r="V309" i="1"/>
  <c r="W309" i="1"/>
  <c r="U310" i="1"/>
  <c r="V310" i="1"/>
  <c r="W310" i="1"/>
  <c r="U311" i="1"/>
  <c r="V311" i="1"/>
  <c r="W311" i="1"/>
  <c r="U312" i="1"/>
  <c r="V312" i="1"/>
  <c r="W312" i="1"/>
  <c r="U313" i="1"/>
  <c r="V313" i="1"/>
  <c r="W313" i="1"/>
  <c r="U314" i="1"/>
  <c r="V314" i="1"/>
  <c r="W314" i="1"/>
  <c r="U315" i="1"/>
  <c r="V315" i="1"/>
  <c r="W315" i="1"/>
  <c r="U316" i="1"/>
  <c r="V316" i="1"/>
  <c r="W316" i="1"/>
  <c r="U317" i="1"/>
  <c r="V317" i="1"/>
  <c r="W317" i="1"/>
  <c r="U318" i="1"/>
  <c r="V318" i="1"/>
  <c r="W318" i="1"/>
  <c r="U319" i="1"/>
  <c r="V319" i="1"/>
  <c r="W319" i="1"/>
  <c r="U320" i="1"/>
  <c r="V320" i="1"/>
  <c r="W320" i="1"/>
  <c r="U321" i="1"/>
  <c r="V321" i="1"/>
  <c r="W321" i="1"/>
  <c r="U322" i="1"/>
  <c r="V322" i="1"/>
  <c r="W322" i="1"/>
  <c r="U323" i="1"/>
  <c r="V323" i="1"/>
  <c r="W323" i="1"/>
  <c r="U324" i="1"/>
  <c r="V324" i="1"/>
  <c r="W324" i="1"/>
  <c r="U325" i="1"/>
  <c r="V325" i="1"/>
  <c r="W325" i="1"/>
  <c r="U326" i="1"/>
  <c r="V326" i="1"/>
  <c r="W326" i="1"/>
  <c r="U327" i="1"/>
  <c r="V327" i="1"/>
  <c r="W327" i="1"/>
  <c r="U328" i="1"/>
  <c r="V328" i="1"/>
  <c r="W328" i="1"/>
  <c r="U329" i="1"/>
  <c r="V329" i="1"/>
  <c r="W329" i="1"/>
  <c r="U330" i="1"/>
  <c r="V330" i="1"/>
  <c r="W330" i="1"/>
  <c r="U331" i="1"/>
  <c r="V331" i="1"/>
  <c r="W331" i="1"/>
  <c r="U332" i="1"/>
  <c r="V332" i="1"/>
  <c r="W332" i="1"/>
  <c r="U333" i="1"/>
  <c r="V333" i="1"/>
  <c r="W333" i="1"/>
  <c r="U334" i="1"/>
  <c r="V334" i="1"/>
  <c r="W334" i="1"/>
  <c r="U335" i="1"/>
  <c r="V335" i="1"/>
  <c r="W335" i="1"/>
  <c r="U336" i="1"/>
  <c r="V336" i="1"/>
  <c r="W336" i="1"/>
  <c r="U337" i="1"/>
  <c r="V337" i="1"/>
  <c r="W337" i="1"/>
  <c r="U338" i="1"/>
  <c r="V338" i="1"/>
  <c r="W338" i="1"/>
  <c r="U339" i="1"/>
  <c r="V339" i="1"/>
  <c r="W339" i="1"/>
  <c r="U340" i="1"/>
  <c r="V340" i="1"/>
  <c r="W340" i="1"/>
  <c r="U341" i="1"/>
  <c r="V341" i="1"/>
  <c r="W341" i="1"/>
  <c r="U342" i="1"/>
  <c r="V342" i="1"/>
  <c r="W342" i="1"/>
  <c r="U343" i="1"/>
  <c r="V343" i="1"/>
  <c r="W343" i="1"/>
  <c r="U344" i="1"/>
  <c r="V344" i="1"/>
  <c r="W344" i="1"/>
  <c r="U345" i="1"/>
  <c r="V345" i="1"/>
  <c r="W345" i="1"/>
  <c r="U346" i="1"/>
  <c r="V346" i="1"/>
  <c r="W346" i="1"/>
  <c r="U347" i="1"/>
  <c r="V347" i="1"/>
  <c r="W347" i="1"/>
  <c r="U348" i="1"/>
  <c r="V348" i="1"/>
  <c r="W348" i="1"/>
  <c r="U349" i="1"/>
  <c r="V349" i="1"/>
  <c r="W349" i="1"/>
  <c r="U350" i="1"/>
  <c r="V350" i="1"/>
  <c r="W350" i="1"/>
  <c r="U351" i="1"/>
  <c r="V351" i="1"/>
  <c r="W351" i="1"/>
  <c r="U352" i="1"/>
  <c r="V352" i="1"/>
  <c r="W352" i="1"/>
  <c r="U353" i="1"/>
  <c r="V353" i="1"/>
  <c r="W353" i="1"/>
  <c r="U354" i="1"/>
  <c r="V354" i="1"/>
  <c r="W354" i="1"/>
  <c r="U355" i="1"/>
  <c r="V355" i="1"/>
  <c r="W355" i="1"/>
  <c r="U356" i="1"/>
  <c r="V356" i="1"/>
  <c r="W356" i="1"/>
  <c r="U357" i="1"/>
  <c r="V357" i="1"/>
  <c r="W357" i="1"/>
  <c r="U358" i="1"/>
  <c r="V358" i="1"/>
  <c r="W358" i="1"/>
  <c r="U359" i="1"/>
  <c r="V359" i="1"/>
  <c r="W359" i="1"/>
  <c r="U360" i="1"/>
  <c r="V360" i="1"/>
  <c r="W360" i="1"/>
  <c r="U361" i="1"/>
  <c r="V361" i="1"/>
  <c r="W361" i="1"/>
  <c r="U362" i="1"/>
  <c r="V362" i="1"/>
  <c r="W362" i="1"/>
  <c r="U363" i="1"/>
  <c r="V363" i="1"/>
  <c r="W363" i="1"/>
  <c r="U364" i="1"/>
  <c r="V364" i="1"/>
  <c r="W364" i="1"/>
  <c r="U365" i="1"/>
  <c r="V365" i="1"/>
  <c r="W365" i="1"/>
  <c r="U366" i="1"/>
  <c r="V366" i="1"/>
  <c r="W366" i="1"/>
  <c r="U367" i="1"/>
  <c r="V367" i="1"/>
  <c r="W367" i="1"/>
  <c r="U368" i="1"/>
  <c r="V368" i="1"/>
  <c r="W368" i="1"/>
  <c r="U369" i="1"/>
  <c r="V369" i="1"/>
  <c r="W369" i="1"/>
  <c r="U370" i="1"/>
  <c r="V370" i="1"/>
  <c r="W370" i="1"/>
  <c r="U371" i="1"/>
  <c r="V371" i="1"/>
  <c r="W371" i="1"/>
  <c r="U372" i="1"/>
  <c r="V372" i="1"/>
  <c r="W372" i="1"/>
  <c r="U373" i="1"/>
  <c r="V373" i="1"/>
  <c r="W373" i="1"/>
  <c r="U374" i="1"/>
  <c r="V374" i="1"/>
  <c r="W374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U380" i="1"/>
  <c r="V380" i="1"/>
  <c r="W380" i="1"/>
  <c r="U381" i="1"/>
  <c r="V381" i="1"/>
  <c r="W381" i="1"/>
  <c r="U382" i="1"/>
  <c r="V382" i="1"/>
  <c r="W382" i="1"/>
  <c r="U383" i="1"/>
  <c r="V383" i="1"/>
  <c r="W383" i="1"/>
  <c r="U384" i="1"/>
  <c r="V384" i="1"/>
  <c r="W384" i="1"/>
  <c r="U385" i="1"/>
  <c r="V385" i="1"/>
  <c r="W385" i="1"/>
  <c r="U386" i="1"/>
  <c r="V386" i="1"/>
  <c r="W386" i="1"/>
  <c r="U387" i="1"/>
  <c r="V387" i="1"/>
  <c r="W387" i="1"/>
  <c r="U388" i="1"/>
  <c r="V388" i="1"/>
  <c r="W388" i="1"/>
  <c r="U389" i="1"/>
  <c r="V389" i="1"/>
  <c r="W389" i="1"/>
  <c r="U390" i="1"/>
  <c r="V390" i="1"/>
  <c r="W390" i="1"/>
  <c r="U391" i="1"/>
  <c r="V391" i="1"/>
  <c r="W391" i="1"/>
  <c r="U392" i="1"/>
  <c r="V392" i="1"/>
  <c r="W392" i="1"/>
  <c r="U393" i="1"/>
  <c r="V393" i="1"/>
  <c r="W393" i="1"/>
  <c r="U394" i="1"/>
  <c r="V394" i="1"/>
  <c r="W394" i="1"/>
  <c r="U395" i="1"/>
  <c r="V395" i="1"/>
  <c r="W395" i="1"/>
  <c r="U396" i="1"/>
  <c r="V396" i="1"/>
  <c r="W396" i="1"/>
  <c r="U397" i="1"/>
  <c r="V397" i="1"/>
  <c r="W397" i="1"/>
  <c r="U398" i="1"/>
  <c r="V398" i="1"/>
  <c r="W398" i="1"/>
  <c r="U399" i="1"/>
  <c r="V399" i="1"/>
  <c r="W399" i="1"/>
  <c r="U400" i="1"/>
  <c r="V400" i="1"/>
  <c r="W400" i="1"/>
  <c r="U401" i="1"/>
  <c r="V401" i="1"/>
  <c r="W401" i="1"/>
  <c r="U402" i="1"/>
  <c r="V402" i="1"/>
  <c r="W402" i="1"/>
  <c r="U403" i="1"/>
  <c r="V403" i="1"/>
  <c r="W403" i="1"/>
  <c r="U404" i="1"/>
  <c r="V404" i="1"/>
  <c r="W404" i="1"/>
  <c r="U405" i="1"/>
  <c r="V405" i="1"/>
  <c r="W405" i="1"/>
  <c r="U406" i="1"/>
  <c r="V406" i="1"/>
  <c r="W406" i="1"/>
  <c r="U407" i="1"/>
  <c r="V407" i="1"/>
  <c r="W407" i="1"/>
  <c r="U408" i="1"/>
  <c r="V408" i="1"/>
  <c r="W408" i="1"/>
  <c r="U409" i="1"/>
  <c r="V409" i="1"/>
  <c r="W409" i="1"/>
  <c r="U410" i="1"/>
  <c r="V410" i="1"/>
  <c r="W410" i="1"/>
  <c r="U411" i="1"/>
  <c r="V411" i="1"/>
  <c r="W411" i="1"/>
  <c r="U412" i="1"/>
  <c r="V412" i="1"/>
  <c r="W412" i="1"/>
  <c r="U413" i="1"/>
  <c r="V413" i="1"/>
  <c r="W413" i="1"/>
  <c r="U414" i="1"/>
  <c r="V414" i="1"/>
  <c r="W414" i="1"/>
  <c r="U416" i="1"/>
  <c r="V416" i="1"/>
  <c r="W416" i="1"/>
  <c r="U417" i="1"/>
  <c r="V417" i="1"/>
  <c r="W417" i="1"/>
  <c r="U418" i="1"/>
  <c r="V418" i="1"/>
  <c r="W418" i="1"/>
  <c r="U419" i="1"/>
  <c r="V419" i="1"/>
  <c r="W419" i="1"/>
  <c r="U420" i="1"/>
  <c r="V420" i="1"/>
  <c r="W420" i="1"/>
  <c r="U421" i="1"/>
  <c r="V421" i="1"/>
  <c r="W421" i="1"/>
  <c r="U422" i="1"/>
  <c r="V422" i="1"/>
  <c r="W422" i="1"/>
  <c r="U423" i="1"/>
  <c r="V423" i="1"/>
  <c r="W423" i="1"/>
  <c r="U424" i="1"/>
  <c r="V424" i="1"/>
  <c r="W424" i="1"/>
  <c r="U425" i="1"/>
  <c r="V425" i="1"/>
  <c r="W425" i="1"/>
  <c r="U426" i="1"/>
  <c r="V426" i="1"/>
  <c r="W426" i="1"/>
  <c r="U427" i="1"/>
  <c r="V427" i="1"/>
  <c r="W427" i="1"/>
  <c r="AC219" i="1"/>
  <c r="AD219" i="1"/>
  <c r="AE219" i="1"/>
  <c r="AC220" i="1"/>
  <c r="AD220" i="1"/>
  <c r="AE220" i="1"/>
  <c r="AC221" i="1"/>
  <c r="AD221" i="1"/>
  <c r="AE221" i="1"/>
  <c r="AC222" i="1"/>
  <c r="AD222" i="1"/>
  <c r="AE222" i="1"/>
  <c r="AC224" i="1"/>
  <c r="AD224" i="1"/>
  <c r="AE224" i="1"/>
  <c r="AC225" i="1"/>
  <c r="AD225" i="1"/>
  <c r="AE225" i="1"/>
  <c r="AC226" i="1"/>
  <c r="AD226" i="1"/>
  <c r="AE226" i="1"/>
  <c r="AC228" i="1"/>
  <c r="AD228" i="1"/>
  <c r="AE228" i="1"/>
  <c r="AC229" i="1"/>
  <c r="AD229" i="1"/>
  <c r="AE229" i="1"/>
  <c r="AC230" i="1"/>
  <c r="AD230" i="1"/>
  <c r="AE230" i="1"/>
  <c r="AC231" i="1"/>
  <c r="AD231" i="1"/>
  <c r="AE231" i="1"/>
  <c r="AC232" i="1"/>
  <c r="AD232" i="1"/>
  <c r="AE232" i="1"/>
  <c r="AC233" i="1"/>
  <c r="AD233" i="1"/>
  <c r="AE233" i="1"/>
  <c r="AC234" i="1"/>
  <c r="AD234" i="1"/>
  <c r="AE234" i="1"/>
  <c r="AC235" i="1"/>
  <c r="AD235" i="1"/>
  <c r="AE235" i="1"/>
  <c r="AC236" i="1"/>
  <c r="AD236" i="1"/>
  <c r="AE236" i="1"/>
  <c r="AC237" i="1"/>
  <c r="AD237" i="1"/>
  <c r="AE237" i="1"/>
  <c r="AC238" i="1"/>
  <c r="AD238" i="1"/>
  <c r="AE238" i="1"/>
  <c r="AC239" i="1"/>
  <c r="AD239" i="1"/>
  <c r="AE239" i="1"/>
  <c r="AC240" i="1"/>
  <c r="AD240" i="1"/>
  <c r="AE240" i="1"/>
  <c r="AC241" i="1"/>
  <c r="AD241" i="1"/>
  <c r="AE241" i="1"/>
  <c r="AC242" i="1"/>
  <c r="AD242" i="1"/>
  <c r="AE242" i="1"/>
  <c r="AC243" i="1"/>
  <c r="AD243" i="1"/>
  <c r="AE243" i="1"/>
  <c r="AC244" i="1"/>
  <c r="AD244" i="1"/>
  <c r="AE244" i="1"/>
  <c r="AC245" i="1"/>
  <c r="AD245" i="1"/>
  <c r="AE245" i="1"/>
  <c r="AC246" i="1"/>
  <c r="AD246" i="1"/>
  <c r="AE246" i="1"/>
  <c r="AC247" i="1"/>
  <c r="AD247" i="1"/>
  <c r="AE247" i="1"/>
  <c r="AC248" i="1"/>
  <c r="AD248" i="1"/>
  <c r="AE248" i="1"/>
  <c r="AC249" i="1"/>
  <c r="AD249" i="1"/>
  <c r="AE249" i="1"/>
  <c r="AC250" i="1"/>
  <c r="AD250" i="1"/>
  <c r="AE250" i="1"/>
  <c r="AC251" i="1"/>
  <c r="AD251" i="1"/>
  <c r="AE251" i="1"/>
  <c r="AC252" i="1"/>
  <c r="AD252" i="1"/>
  <c r="AE252" i="1"/>
  <c r="AC253" i="1"/>
  <c r="AD253" i="1"/>
  <c r="AE253" i="1"/>
  <c r="AC254" i="1"/>
  <c r="AD254" i="1"/>
  <c r="AE254" i="1"/>
  <c r="AC256" i="1"/>
  <c r="AD256" i="1"/>
  <c r="AE256" i="1"/>
  <c r="AC257" i="1"/>
  <c r="AD257" i="1"/>
  <c r="AE257" i="1"/>
  <c r="AC258" i="1"/>
  <c r="AD258" i="1"/>
  <c r="AE258" i="1"/>
  <c r="AC259" i="1"/>
  <c r="AD259" i="1"/>
  <c r="AE259" i="1"/>
  <c r="AC260" i="1"/>
  <c r="AD260" i="1"/>
  <c r="AE260" i="1"/>
  <c r="AC261" i="1"/>
  <c r="AD261" i="1"/>
  <c r="AE261" i="1"/>
  <c r="AC262" i="1"/>
  <c r="AD262" i="1"/>
  <c r="AE262" i="1"/>
  <c r="AC264" i="1"/>
  <c r="AD264" i="1"/>
  <c r="AE264" i="1"/>
  <c r="AC265" i="1"/>
  <c r="AD265" i="1"/>
  <c r="AE265" i="1"/>
  <c r="AC266" i="1"/>
  <c r="AD266" i="1"/>
  <c r="AE266" i="1"/>
  <c r="AC267" i="1"/>
  <c r="AD267" i="1"/>
  <c r="AE267" i="1"/>
  <c r="AC268" i="1"/>
  <c r="AD268" i="1"/>
  <c r="AE268" i="1"/>
  <c r="AC269" i="1"/>
  <c r="AD269" i="1"/>
  <c r="AE269" i="1"/>
  <c r="AC270" i="1"/>
  <c r="AD270" i="1"/>
  <c r="AE270" i="1"/>
  <c r="AC271" i="1"/>
  <c r="AD271" i="1"/>
  <c r="AE271" i="1"/>
  <c r="AC274" i="1"/>
  <c r="AD274" i="1"/>
  <c r="AE274" i="1"/>
  <c r="AC275" i="1"/>
  <c r="AD275" i="1"/>
  <c r="AE275" i="1"/>
  <c r="AC276" i="1"/>
  <c r="AD276" i="1"/>
  <c r="AE276" i="1"/>
  <c r="AC277" i="1"/>
  <c r="AD277" i="1"/>
  <c r="AE277" i="1"/>
  <c r="AC278" i="1"/>
  <c r="AD278" i="1"/>
  <c r="AE278" i="1"/>
  <c r="AC279" i="1"/>
  <c r="AD279" i="1"/>
  <c r="AE279" i="1"/>
  <c r="AC280" i="1"/>
  <c r="AD280" i="1"/>
  <c r="AE280" i="1"/>
  <c r="AC281" i="1"/>
  <c r="AD281" i="1"/>
  <c r="AE281" i="1"/>
  <c r="AC282" i="1"/>
  <c r="AD282" i="1"/>
  <c r="AE282" i="1"/>
  <c r="AC283" i="1"/>
  <c r="AD283" i="1"/>
  <c r="AE283" i="1"/>
  <c r="AC285" i="1"/>
  <c r="AD285" i="1"/>
  <c r="AE285" i="1"/>
  <c r="AC286" i="1"/>
  <c r="AD286" i="1"/>
  <c r="AE286" i="1"/>
  <c r="AC287" i="1"/>
  <c r="AD287" i="1"/>
  <c r="AE287" i="1"/>
  <c r="AC288" i="1"/>
  <c r="AD288" i="1"/>
  <c r="AE288" i="1"/>
  <c r="AC289" i="1"/>
  <c r="AD289" i="1"/>
  <c r="AE289" i="1"/>
  <c r="AC290" i="1"/>
  <c r="AD290" i="1"/>
  <c r="AE290" i="1"/>
  <c r="AC291" i="1"/>
  <c r="AD291" i="1"/>
  <c r="AE291" i="1"/>
  <c r="AC292" i="1"/>
  <c r="AD292" i="1"/>
  <c r="AE292" i="1"/>
  <c r="AC293" i="1"/>
  <c r="AD293" i="1"/>
  <c r="AE293" i="1"/>
  <c r="AC294" i="1"/>
  <c r="AD294" i="1"/>
  <c r="AE294" i="1"/>
  <c r="AC295" i="1"/>
  <c r="AD295" i="1"/>
  <c r="AE295" i="1"/>
  <c r="AC296" i="1"/>
  <c r="AD296" i="1"/>
  <c r="AE296" i="1"/>
  <c r="AC297" i="1"/>
  <c r="AD297" i="1"/>
  <c r="AE297" i="1"/>
  <c r="AC298" i="1"/>
  <c r="AD298" i="1"/>
  <c r="AE298" i="1"/>
  <c r="AC299" i="1"/>
  <c r="AD299" i="1"/>
  <c r="AE299" i="1"/>
  <c r="AC300" i="1"/>
  <c r="AD300" i="1"/>
  <c r="AE300" i="1"/>
  <c r="AC301" i="1"/>
  <c r="AD301" i="1"/>
  <c r="AE301" i="1"/>
  <c r="AC302" i="1"/>
  <c r="AD302" i="1"/>
  <c r="AE302" i="1"/>
  <c r="AC303" i="1"/>
  <c r="AD303" i="1"/>
  <c r="AE303" i="1"/>
  <c r="AC304" i="1"/>
  <c r="AD304" i="1"/>
  <c r="AE304" i="1"/>
  <c r="AC305" i="1"/>
  <c r="AD305" i="1"/>
  <c r="AE305" i="1"/>
  <c r="AC306" i="1"/>
  <c r="AD306" i="1"/>
  <c r="AE306" i="1"/>
  <c r="AC307" i="1"/>
  <c r="AD307" i="1"/>
  <c r="AE307" i="1"/>
  <c r="AC308" i="1"/>
  <c r="AD308" i="1"/>
  <c r="AE308" i="1"/>
  <c r="AC309" i="1"/>
  <c r="AD309" i="1"/>
  <c r="AE309" i="1"/>
  <c r="AC310" i="1"/>
  <c r="AD310" i="1"/>
  <c r="AE310" i="1"/>
  <c r="AC311" i="1"/>
  <c r="AD311" i="1"/>
  <c r="AE311" i="1"/>
  <c r="AC312" i="1"/>
  <c r="AD312" i="1"/>
  <c r="AE312" i="1"/>
  <c r="AC313" i="1"/>
  <c r="AD313" i="1"/>
  <c r="AE313" i="1"/>
  <c r="AC314" i="1"/>
  <c r="AD314" i="1"/>
  <c r="AE314" i="1"/>
  <c r="AC315" i="1"/>
  <c r="AD315" i="1"/>
  <c r="AE315" i="1"/>
  <c r="AC317" i="1"/>
  <c r="AD317" i="1"/>
  <c r="AE317" i="1"/>
  <c r="AC318" i="1"/>
  <c r="AD318" i="1"/>
  <c r="AE318" i="1"/>
  <c r="AC319" i="1"/>
  <c r="AD319" i="1"/>
  <c r="AE319" i="1"/>
  <c r="AC320" i="1"/>
  <c r="AD320" i="1"/>
  <c r="AE320" i="1"/>
  <c r="AC321" i="1"/>
  <c r="AD321" i="1"/>
  <c r="AE321" i="1"/>
  <c r="AC322" i="1"/>
  <c r="AD322" i="1"/>
  <c r="AE322" i="1"/>
  <c r="AC324" i="1"/>
  <c r="AD324" i="1"/>
  <c r="AE324" i="1"/>
  <c r="AC325" i="1"/>
  <c r="AD325" i="1"/>
  <c r="AE325" i="1"/>
  <c r="AC326" i="1"/>
  <c r="AD326" i="1"/>
  <c r="AE326" i="1"/>
  <c r="AC327" i="1"/>
  <c r="AD327" i="1"/>
  <c r="AE327" i="1"/>
  <c r="AC328" i="1"/>
  <c r="AD328" i="1"/>
  <c r="AE328" i="1"/>
  <c r="AC329" i="1"/>
  <c r="AD329" i="1"/>
  <c r="AE329" i="1"/>
  <c r="AC330" i="1"/>
  <c r="AD330" i="1"/>
  <c r="AE330" i="1"/>
  <c r="AC331" i="1"/>
  <c r="AD331" i="1"/>
  <c r="AE331" i="1"/>
  <c r="AC332" i="1"/>
  <c r="AD332" i="1"/>
  <c r="AE332" i="1"/>
  <c r="AC333" i="1"/>
  <c r="AD333" i="1"/>
  <c r="AE333" i="1"/>
  <c r="AC334" i="1"/>
  <c r="AD334" i="1"/>
  <c r="AE334" i="1"/>
  <c r="AC335" i="1"/>
  <c r="AD335" i="1"/>
  <c r="AE335" i="1"/>
  <c r="AC336" i="1"/>
  <c r="AD336" i="1"/>
  <c r="AE336" i="1"/>
  <c r="AC337" i="1"/>
  <c r="AD337" i="1"/>
  <c r="AE337" i="1"/>
  <c r="AC338" i="1"/>
  <c r="AD338" i="1"/>
  <c r="AE338" i="1"/>
  <c r="AC339" i="1"/>
  <c r="AD339" i="1"/>
  <c r="AE339" i="1"/>
  <c r="AC340" i="1"/>
  <c r="AD340" i="1"/>
  <c r="AE340" i="1"/>
  <c r="AC341" i="1"/>
  <c r="AD341" i="1"/>
  <c r="AE341" i="1"/>
  <c r="AC343" i="1"/>
  <c r="AD343" i="1"/>
  <c r="AE343" i="1"/>
  <c r="AC344" i="1"/>
  <c r="AD344" i="1"/>
  <c r="AE344" i="1"/>
  <c r="AC345" i="1"/>
  <c r="AD345" i="1"/>
  <c r="AE345" i="1"/>
  <c r="AC346" i="1"/>
  <c r="AD346" i="1"/>
  <c r="AE346" i="1"/>
  <c r="AC347" i="1"/>
  <c r="AD347" i="1"/>
  <c r="AE347" i="1"/>
  <c r="AC348" i="1"/>
  <c r="AD348" i="1"/>
  <c r="AE348" i="1"/>
  <c r="AC350" i="1"/>
  <c r="AD350" i="1"/>
  <c r="AE350" i="1"/>
  <c r="AC351" i="1"/>
  <c r="AD351" i="1"/>
  <c r="AE351" i="1"/>
  <c r="AC352" i="1"/>
  <c r="AD352" i="1"/>
  <c r="AE352" i="1"/>
  <c r="AC353" i="1"/>
  <c r="AD353" i="1"/>
  <c r="AE353" i="1"/>
  <c r="AC354" i="1"/>
  <c r="AD354" i="1"/>
  <c r="AE354" i="1"/>
  <c r="AC355" i="1"/>
  <c r="AD355" i="1"/>
  <c r="AE355" i="1"/>
  <c r="AC356" i="1"/>
  <c r="AD356" i="1"/>
  <c r="AE356" i="1"/>
  <c r="AC357" i="1"/>
  <c r="AD357" i="1"/>
  <c r="AE357" i="1"/>
  <c r="AC358" i="1"/>
  <c r="AD358" i="1"/>
  <c r="AE358" i="1"/>
  <c r="AC359" i="1"/>
  <c r="AD359" i="1"/>
  <c r="AE359" i="1"/>
  <c r="AC360" i="1"/>
  <c r="AD360" i="1"/>
  <c r="AE360" i="1"/>
  <c r="AC361" i="1"/>
  <c r="AD361" i="1"/>
  <c r="AE361" i="1"/>
  <c r="AC362" i="1"/>
  <c r="AD362" i="1"/>
  <c r="AE362" i="1"/>
  <c r="AC363" i="1"/>
  <c r="AD363" i="1"/>
  <c r="AE363" i="1"/>
  <c r="AC364" i="1"/>
  <c r="AD364" i="1"/>
  <c r="AE364" i="1"/>
  <c r="AC365" i="1"/>
  <c r="AD365" i="1"/>
  <c r="AE365" i="1"/>
  <c r="AC366" i="1"/>
  <c r="AD366" i="1"/>
  <c r="AE366" i="1"/>
  <c r="AC367" i="1"/>
  <c r="AD367" i="1"/>
  <c r="AE367" i="1"/>
  <c r="AC368" i="1"/>
  <c r="AD368" i="1"/>
  <c r="AE368" i="1"/>
  <c r="AC369" i="1"/>
  <c r="AD369" i="1"/>
  <c r="AE369" i="1"/>
  <c r="AC370" i="1"/>
  <c r="AD370" i="1"/>
  <c r="AE370" i="1"/>
  <c r="AC371" i="1"/>
  <c r="AD371" i="1"/>
  <c r="AE371" i="1"/>
  <c r="AC372" i="1"/>
  <c r="AD372" i="1"/>
  <c r="AE372" i="1"/>
  <c r="AC373" i="1"/>
  <c r="AD373" i="1"/>
  <c r="AE373" i="1"/>
  <c r="AC374" i="1"/>
  <c r="AD374" i="1"/>
  <c r="AE374" i="1"/>
  <c r="AC375" i="1"/>
  <c r="AD375" i="1"/>
  <c r="AE375" i="1"/>
  <c r="AC376" i="1"/>
  <c r="AD376" i="1"/>
  <c r="AE376" i="1"/>
  <c r="AC377" i="1"/>
  <c r="AD377" i="1"/>
  <c r="AE377" i="1"/>
  <c r="AC378" i="1"/>
  <c r="AD378" i="1"/>
  <c r="AE378" i="1"/>
  <c r="AC380" i="1"/>
  <c r="AD380" i="1"/>
  <c r="AE380" i="1"/>
  <c r="AC381" i="1"/>
  <c r="AD381" i="1"/>
  <c r="AE381" i="1"/>
  <c r="AC382" i="1"/>
  <c r="AD382" i="1"/>
  <c r="AE382" i="1"/>
  <c r="AC383" i="1"/>
  <c r="AD383" i="1"/>
  <c r="AE383" i="1"/>
  <c r="AC384" i="1"/>
  <c r="AD384" i="1"/>
  <c r="AE384" i="1"/>
  <c r="AC385" i="1"/>
  <c r="AD385" i="1"/>
  <c r="AE385" i="1"/>
  <c r="AC386" i="1"/>
  <c r="AD386" i="1"/>
  <c r="AE386" i="1"/>
  <c r="AC387" i="1"/>
  <c r="AD387" i="1"/>
  <c r="AE387" i="1"/>
  <c r="AC388" i="1"/>
  <c r="AD388" i="1"/>
  <c r="AE388" i="1"/>
  <c r="AC389" i="1"/>
  <c r="AD389" i="1"/>
  <c r="AE389" i="1"/>
  <c r="AC390" i="1"/>
  <c r="AD390" i="1"/>
  <c r="AE390" i="1"/>
  <c r="AC391" i="1"/>
  <c r="AD391" i="1"/>
  <c r="AE391" i="1"/>
  <c r="AC392" i="1"/>
  <c r="AD392" i="1"/>
  <c r="AE392" i="1"/>
  <c r="AC393" i="1"/>
  <c r="AD393" i="1"/>
  <c r="AE393" i="1"/>
  <c r="AC394" i="1"/>
  <c r="AD394" i="1"/>
  <c r="AE394" i="1"/>
  <c r="AC395" i="1"/>
  <c r="AD395" i="1"/>
  <c r="AE395" i="1"/>
  <c r="AC396" i="1"/>
  <c r="AD396" i="1"/>
  <c r="AE396" i="1"/>
  <c r="AC397" i="1"/>
  <c r="AD397" i="1"/>
  <c r="AE397" i="1"/>
  <c r="AC398" i="1"/>
  <c r="AD398" i="1"/>
  <c r="AE398" i="1"/>
  <c r="AC399" i="1"/>
  <c r="AD399" i="1"/>
  <c r="AE399" i="1"/>
  <c r="AC400" i="1"/>
  <c r="AD400" i="1"/>
  <c r="AE400" i="1"/>
  <c r="AC402" i="1"/>
  <c r="AD402" i="1"/>
  <c r="AE402" i="1"/>
  <c r="AC403" i="1"/>
  <c r="AD403" i="1"/>
  <c r="AE403" i="1"/>
  <c r="AC404" i="1"/>
  <c r="AD404" i="1"/>
  <c r="AE404" i="1"/>
  <c r="AC405" i="1"/>
  <c r="AD405" i="1"/>
  <c r="AE405" i="1"/>
  <c r="AC406" i="1"/>
  <c r="AD406" i="1"/>
  <c r="AE406" i="1"/>
  <c r="AC407" i="1"/>
  <c r="AD407" i="1"/>
  <c r="AE407" i="1"/>
  <c r="AC408" i="1"/>
  <c r="AD408" i="1"/>
  <c r="AE408" i="1"/>
  <c r="AC409" i="1"/>
  <c r="AD409" i="1"/>
  <c r="AE409" i="1"/>
  <c r="AC410" i="1"/>
  <c r="AD410" i="1"/>
  <c r="AE410" i="1"/>
  <c r="AC411" i="1"/>
  <c r="AD411" i="1"/>
  <c r="AE411" i="1"/>
  <c r="AC412" i="1"/>
  <c r="AD412" i="1"/>
  <c r="AE412" i="1"/>
  <c r="AC413" i="1"/>
  <c r="AD413" i="1"/>
  <c r="AE413" i="1"/>
  <c r="AC414" i="1"/>
  <c r="AD414" i="1"/>
  <c r="AE414" i="1"/>
  <c r="AC416" i="1"/>
  <c r="AD416" i="1"/>
  <c r="AE416" i="1"/>
  <c r="AC417" i="1"/>
  <c r="AD417" i="1"/>
  <c r="AE417" i="1"/>
  <c r="AC418" i="1"/>
  <c r="AD418" i="1"/>
  <c r="AE418" i="1"/>
  <c r="AC419" i="1"/>
  <c r="AD419" i="1"/>
  <c r="AE419" i="1"/>
  <c r="AC420" i="1"/>
  <c r="AD420" i="1"/>
  <c r="AE420" i="1"/>
  <c r="AC421" i="1"/>
  <c r="AD421" i="1"/>
  <c r="AE421" i="1"/>
  <c r="AC422" i="1"/>
  <c r="AD422" i="1"/>
  <c r="AE422" i="1"/>
  <c r="AC423" i="1"/>
  <c r="AD423" i="1"/>
  <c r="AE423" i="1"/>
  <c r="AC424" i="1"/>
  <c r="AD424" i="1"/>
  <c r="AE424" i="1"/>
  <c r="AC425" i="1"/>
  <c r="AD425" i="1"/>
  <c r="AE425" i="1"/>
  <c r="AC426" i="1"/>
  <c r="AD426" i="1"/>
  <c r="AE426" i="1"/>
  <c r="AC427" i="1"/>
  <c r="AD427" i="1"/>
  <c r="AE427" i="1"/>
  <c r="AK219" i="1"/>
  <c r="AL219" i="1"/>
  <c r="AM219" i="1"/>
  <c r="AK220" i="1"/>
  <c r="AL220" i="1"/>
  <c r="AM220" i="1"/>
  <c r="AK221" i="1"/>
  <c r="AL221" i="1"/>
  <c r="AM221" i="1"/>
  <c r="AK222" i="1"/>
  <c r="AL222" i="1"/>
  <c r="AM222" i="1"/>
  <c r="AK223" i="1"/>
  <c r="AL223" i="1"/>
  <c r="AM223" i="1"/>
  <c r="AK224" i="1"/>
  <c r="AL224" i="1"/>
  <c r="AM224" i="1"/>
  <c r="AK225" i="1"/>
  <c r="AL225" i="1"/>
  <c r="AM225" i="1"/>
  <c r="AK226" i="1"/>
  <c r="AL226" i="1"/>
  <c r="AM226" i="1"/>
  <c r="AK227" i="1"/>
  <c r="AL227" i="1"/>
  <c r="AM227" i="1"/>
  <c r="AK228" i="1"/>
  <c r="AL228" i="1"/>
  <c r="AM228" i="1"/>
  <c r="AK229" i="1"/>
  <c r="AL229" i="1"/>
  <c r="AM229" i="1"/>
  <c r="AK230" i="1"/>
  <c r="AL230" i="1"/>
  <c r="AM230" i="1"/>
  <c r="AK231" i="1"/>
  <c r="AL231" i="1"/>
  <c r="AM231" i="1"/>
  <c r="AK232" i="1"/>
  <c r="AL232" i="1"/>
  <c r="AM232" i="1"/>
  <c r="AK233" i="1"/>
  <c r="AL233" i="1"/>
  <c r="AM233" i="1"/>
  <c r="AK234" i="1"/>
  <c r="AL234" i="1"/>
  <c r="AM234" i="1"/>
  <c r="AK235" i="1"/>
  <c r="AL235" i="1"/>
  <c r="AM235" i="1"/>
  <c r="AK236" i="1"/>
  <c r="AL236" i="1"/>
  <c r="AM236" i="1"/>
  <c r="AK237" i="1"/>
  <c r="AL237" i="1"/>
  <c r="AM237" i="1"/>
  <c r="AK238" i="1"/>
  <c r="AL238" i="1"/>
  <c r="AM238" i="1"/>
  <c r="AK239" i="1"/>
  <c r="AL239" i="1"/>
  <c r="AM239" i="1"/>
  <c r="AK240" i="1"/>
  <c r="AL240" i="1"/>
  <c r="AM240" i="1"/>
  <c r="AK241" i="1"/>
  <c r="AL241" i="1"/>
  <c r="AM241" i="1"/>
  <c r="AK242" i="1"/>
  <c r="AL242" i="1"/>
  <c r="AM242" i="1"/>
  <c r="AK243" i="1"/>
  <c r="AL243" i="1"/>
  <c r="AM243" i="1"/>
  <c r="AK244" i="1"/>
  <c r="AL244" i="1"/>
  <c r="AM244" i="1"/>
  <c r="AK245" i="1"/>
  <c r="AL245" i="1"/>
  <c r="AM245" i="1"/>
  <c r="AK246" i="1"/>
  <c r="AL246" i="1"/>
  <c r="AM246" i="1"/>
  <c r="AK247" i="1"/>
  <c r="AL247" i="1"/>
  <c r="AM247" i="1"/>
  <c r="AK248" i="1"/>
  <c r="AL248" i="1"/>
  <c r="AM248" i="1"/>
  <c r="AK249" i="1"/>
  <c r="AL249" i="1"/>
  <c r="AM249" i="1"/>
  <c r="AK250" i="1"/>
  <c r="AL250" i="1"/>
  <c r="AM250" i="1"/>
  <c r="AK251" i="1"/>
  <c r="AL251" i="1"/>
  <c r="AM251" i="1"/>
  <c r="AK252" i="1"/>
  <c r="AL252" i="1"/>
  <c r="AM252" i="1"/>
  <c r="AK253" i="1"/>
  <c r="AL253" i="1"/>
  <c r="AM253" i="1"/>
  <c r="AK254" i="1"/>
  <c r="AL254" i="1"/>
  <c r="AM254" i="1"/>
  <c r="AK256" i="1"/>
  <c r="AL256" i="1"/>
  <c r="AM256" i="1"/>
  <c r="AK257" i="1"/>
  <c r="AL257" i="1"/>
  <c r="AM257" i="1"/>
  <c r="AK258" i="1"/>
  <c r="AL258" i="1"/>
  <c r="AM258" i="1"/>
  <c r="AK259" i="1"/>
  <c r="AL259" i="1"/>
  <c r="AM259" i="1"/>
  <c r="AK260" i="1"/>
  <c r="AL260" i="1"/>
  <c r="AM260" i="1"/>
  <c r="AK261" i="1"/>
  <c r="AL261" i="1"/>
  <c r="AM261" i="1"/>
  <c r="AK262" i="1"/>
  <c r="AL262" i="1"/>
  <c r="AM262" i="1"/>
  <c r="AK264" i="1"/>
  <c r="AL264" i="1"/>
  <c r="AM264" i="1"/>
  <c r="AK265" i="1"/>
  <c r="AL265" i="1"/>
  <c r="AM265" i="1"/>
  <c r="AK266" i="1"/>
  <c r="AL266" i="1"/>
  <c r="AM266" i="1"/>
  <c r="AK267" i="1"/>
  <c r="AL267" i="1"/>
  <c r="AM267" i="1"/>
  <c r="AK268" i="1"/>
  <c r="AL268" i="1"/>
  <c r="AM268" i="1"/>
  <c r="AK269" i="1"/>
  <c r="AL269" i="1"/>
  <c r="AM269" i="1"/>
  <c r="AK270" i="1"/>
  <c r="AL270" i="1"/>
  <c r="AM270" i="1"/>
  <c r="AK271" i="1"/>
  <c r="AL271" i="1"/>
  <c r="AM271" i="1"/>
  <c r="AK272" i="1"/>
  <c r="AL272" i="1"/>
  <c r="AM272" i="1"/>
  <c r="AK273" i="1"/>
  <c r="AL273" i="1"/>
  <c r="AM273" i="1"/>
  <c r="AK274" i="1"/>
  <c r="AL274" i="1"/>
  <c r="AM274" i="1"/>
  <c r="AK275" i="1"/>
  <c r="AL275" i="1"/>
  <c r="AM275" i="1"/>
  <c r="AK276" i="1"/>
  <c r="AL276" i="1"/>
  <c r="AM276" i="1"/>
  <c r="AK277" i="1"/>
  <c r="AL277" i="1"/>
  <c r="AM277" i="1"/>
  <c r="AK278" i="1"/>
  <c r="AL278" i="1"/>
  <c r="AM278" i="1"/>
  <c r="AK279" i="1"/>
  <c r="AL279" i="1"/>
  <c r="AM279" i="1"/>
  <c r="AK280" i="1"/>
  <c r="AL280" i="1"/>
  <c r="AM280" i="1"/>
  <c r="AK281" i="1"/>
  <c r="AL281" i="1"/>
  <c r="AM281" i="1"/>
  <c r="AK282" i="1"/>
  <c r="AL282" i="1"/>
  <c r="AM282" i="1"/>
  <c r="AK283" i="1"/>
  <c r="AL283" i="1"/>
  <c r="AM283" i="1"/>
  <c r="AK284" i="1"/>
  <c r="AL284" i="1"/>
  <c r="AM284" i="1"/>
  <c r="AK285" i="1"/>
  <c r="AL285" i="1"/>
  <c r="AM285" i="1"/>
  <c r="AK286" i="1"/>
  <c r="AL286" i="1"/>
  <c r="AM286" i="1"/>
  <c r="AK287" i="1"/>
  <c r="AL287" i="1"/>
  <c r="AM287" i="1"/>
  <c r="AK288" i="1"/>
  <c r="AL288" i="1"/>
  <c r="AM288" i="1"/>
  <c r="AK289" i="1"/>
  <c r="AL289" i="1"/>
  <c r="AM289" i="1"/>
  <c r="AK290" i="1"/>
  <c r="AL290" i="1"/>
  <c r="AM290" i="1"/>
  <c r="AK291" i="1"/>
  <c r="AL291" i="1"/>
  <c r="AM291" i="1"/>
  <c r="AK292" i="1"/>
  <c r="AL292" i="1"/>
  <c r="AM292" i="1"/>
  <c r="AK293" i="1"/>
  <c r="AL293" i="1"/>
  <c r="AM293" i="1"/>
  <c r="AK294" i="1"/>
  <c r="AL294" i="1"/>
  <c r="AM294" i="1"/>
  <c r="AK295" i="1"/>
  <c r="AL295" i="1"/>
  <c r="AM295" i="1"/>
  <c r="AK296" i="1"/>
  <c r="AL296" i="1"/>
  <c r="AM296" i="1"/>
  <c r="AK297" i="1"/>
  <c r="AL297" i="1"/>
  <c r="AM297" i="1"/>
  <c r="AK298" i="1"/>
  <c r="AL298" i="1"/>
  <c r="AM298" i="1"/>
  <c r="AK299" i="1"/>
  <c r="AL299" i="1"/>
  <c r="AM299" i="1"/>
  <c r="AK300" i="1"/>
  <c r="AL300" i="1"/>
  <c r="AM300" i="1"/>
  <c r="AK301" i="1"/>
  <c r="AL301" i="1"/>
  <c r="AM301" i="1"/>
  <c r="AK302" i="1"/>
  <c r="AL302" i="1"/>
  <c r="AM302" i="1"/>
  <c r="AK303" i="1"/>
  <c r="AL303" i="1"/>
  <c r="AM303" i="1"/>
  <c r="AK304" i="1"/>
  <c r="AL304" i="1"/>
  <c r="AM304" i="1"/>
  <c r="AK305" i="1"/>
  <c r="AL305" i="1"/>
  <c r="AM305" i="1"/>
  <c r="AK306" i="1"/>
  <c r="AL306" i="1"/>
  <c r="AM306" i="1"/>
  <c r="AK307" i="1"/>
  <c r="AL307" i="1"/>
  <c r="AM307" i="1"/>
  <c r="AK308" i="1"/>
  <c r="AL308" i="1"/>
  <c r="AM308" i="1"/>
  <c r="AK309" i="1"/>
  <c r="AL309" i="1"/>
  <c r="AM309" i="1"/>
  <c r="AK310" i="1"/>
  <c r="AL310" i="1"/>
  <c r="AM310" i="1"/>
  <c r="AK311" i="1"/>
  <c r="AL311" i="1"/>
  <c r="AM311" i="1"/>
  <c r="AK312" i="1"/>
  <c r="AL312" i="1"/>
  <c r="AM312" i="1"/>
  <c r="AK313" i="1"/>
  <c r="AL313" i="1"/>
  <c r="AM313" i="1"/>
  <c r="AK314" i="1"/>
  <c r="AL314" i="1"/>
  <c r="AM314" i="1"/>
  <c r="AK315" i="1"/>
  <c r="AL315" i="1"/>
  <c r="AM315" i="1"/>
  <c r="AK316" i="1"/>
  <c r="AL316" i="1"/>
  <c r="AM316" i="1"/>
  <c r="AK317" i="1"/>
  <c r="AL317" i="1"/>
  <c r="AM317" i="1"/>
  <c r="AK318" i="1"/>
  <c r="AL318" i="1"/>
  <c r="AM318" i="1"/>
  <c r="AK319" i="1"/>
  <c r="AL319" i="1"/>
  <c r="AM319" i="1"/>
  <c r="AK320" i="1"/>
  <c r="AL320" i="1"/>
  <c r="AM320" i="1"/>
  <c r="AK321" i="1"/>
  <c r="AL321" i="1"/>
  <c r="AM321" i="1"/>
  <c r="AK322" i="1"/>
  <c r="AL322" i="1"/>
  <c r="AM322" i="1"/>
  <c r="AK323" i="1"/>
  <c r="AL323" i="1"/>
  <c r="AM323" i="1"/>
  <c r="AK324" i="1"/>
  <c r="AL324" i="1"/>
  <c r="AM324" i="1"/>
  <c r="AK325" i="1"/>
  <c r="AL325" i="1"/>
  <c r="AM325" i="1"/>
  <c r="AK326" i="1"/>
  <c r="AL326" i="1"/>
  <c r="AM326" i="1"/>
  <c r="AK327" i="1"/>
  <c r="AL327" i="1"/>
  <c r="AM327" i="1"/>
  <c r="AK328" i="1"/>
  <c r="AL328" i="1"/>
  <c r="AM328" i="1"/>
  <c r="AK329" i="1"/>
  <c r="AL329" i="1"/>
  <c r="AM329" i="1"/>
  <c r="AK330" i="1"/>
  <c r="AL330" i="1"/>
  <c r="AM330" i="1"/>
  <c r="AK331" i="1"/>
  <c r="AL331" i="1"/>
  <c r="AM331" i="1"/>
  <c r="AK332" i="1"/>
  <c r="AL332" i="1"/>
  <c r="AM332" i="1"/>
  <c r="AK333" i="1"/>
  <c r="AL333" i="1"/>
  <c r="AM333" i="1"/>
  <c r="AK334" i="1"/>
  <c r="AL334" i="1"/>
  <c r="AM334" i="1"/>
  <c r="AK335" i="1"/>
  <c r="AL335" i="1"/>
  <c r="AM335" i="1"/>
  <c r="AK336" i="1"/>
  <c r="AL336" i="1"/>
  <c r="AM336" i="1"/>
  <c r="AK337" i="1"/>
  <c r="AL337" i="1"/>
  <c r="AM337" i="1"/>
  <c r="AK338" i="1"/>
  <c r="AL338" i="1"/>
  <c r="AM338" i="1"/>
  <c r="AK339" i="1"/>
  <c r="AL339" i="1"/>
  <c r="AM339" i="1"/>
  <c r="AK340" i="1"/>
  <c r="AL340" i="1"/>
  <c r="AM340" i="1"/>
  <c r="AK341" i="1"/>
  <c r="AL341" i="1"/>
  <c r="AM341" i="1"/>
  <c r="AK343" i="1"/>
  <c r="AL343" i="1"/>
  <c r="AM343" i="1"/>
  <c r="AK344" i="1"/>
  <c r="AL344" i="1"/>
  <c r="AM344" i="1"/>
  <c r="AK345" i="1"/>
  <c r="AL345" i="1"/>
  <c r="AM345" i="1"/>
  <c r="AK346" i="1"/>
  <c r="AL346" i="1"/>
  <c r="AM346" i="1"/>
  <c r="AK347" i="1"/>
  <c r="AL347" i="1"/>
  <c r="AM347" i="1"/>
  <c r="AK348" i="1"/>
  <c r="AL348" i="1"/>
  <c r="AM348" i="1"/>
  <c r="AK350" i="1"/>
  <c r="AL350" i="1"/>
  <c r="AM350" i="1"/>
  <c r="AK351" i="1"/>
  <c r="AL351" i="1"/>
  <c r="AM351" i="1"/>
  <c r="AK352" i="1"/>
  <c r="AL352" i="1"/>
  <c r="AM352" i="1"/>
  <c r="AK353" i="1"/>
  <c r="AL353" i="1"/>
  <c r="AM353" i="1"/>
  <c r="AK354" i="1"/>
  <c r="AL354" i="1"/>
  <c r="AM354" i="1"/>
  <c r="AK355" i="1"/>
  <c r="AL355" i="1"/>
  <c r="AM355" i="1"/>
  <c r="AK356" i="1"/>
  <c r="AL356" i="1"/>
  <c r="AM356" i="1"/>
  <c r="AK357" i="1"/>
  <c r="AL357" i="1"/>
  <c r="AM357" i="1"/>
  <c r="AK358" i="1"/>
  <c r="AL358" i="1"/>
  <c r="AM358" i="1"/>
  <c r="AK359" i="1"/>
  <c r="AL359" i="1"/>
  <c r="AM359" i="1"/>
  <c r="AK360" i="1"/>
  <c r="AL360" i="1"/>
  <c r="AM360" i="1"/>
  <c r="AK361" i="1"/>
  <c r="AL361" i="1"/>
  <c r="AM361" i="1"/>
  <c r="AK362" i="1"/>
  <c r="AL362" i="1"/>
  <c r="AM362" i="1"/>
  <c r="AK363" i="1"/>
  <c r="AL363" i="1"/>
  <c r="AM363" i="1"/>
  <c r="AK364" i="1"/>
  <c r="AL364" i="1"/>
  <c r="AM364" i="1"/>
  <c r="AK365" i="1"/>
  <c r="AL365" i="1"/>
  <c r="AM365" i="1"/>
  <c r="AK366" i="1"/>
  <c r="AL366" i="1"/>
  <c r="AM366" i="1"/>
  <c r="AK367" i="1"/>
  <c r="AL367" i="1"/>
  <c r="AM367" i="1"/>
  <c r="AK368" i="1"/>
  <c r="AL368" i="1"/>
  <c r="AM368" i="1"/>
  <c r="AK369" i="1"/>
  <c r="AL369" i="1"/>
  <c r="AM369" i="1"/>
  <c r="AK370" i="1"/>
  <c r="AL370" i="1"/>
  <c r="AM370" i="1"/>
  <c r="AK371" i="1"/>
  <c r="AL371" i="1"/>
  <c r="AM371" i="1"/>
  <c r="AK372" i="1"/>
  <c r="AL372" i="1"/>
  <c r="AM372" i="1"/>
  <c r="AK373" i="1"/>
  <c r="AL373" i="1"/>
  <c r="AM373" i="1"/>
  <c r="AK374" i="1"/>
  <c r="AL374" i="1"/>
  <c r="AM374" i="1"/>
  <c r="AK375" i="1"/>
  <c r="AL375" i="1"/>
  <c r="AM375" i="1"/>
  <c r="AK376" i="1"/>
  <c r="AL376" i="1"/>
  <c r="AM376" i="1"/>
  <c r="AK377" i="1"/>
  <c r="AL377" i="1"/>
  <c r="AM377" i="1"/>
  <c r="AK378" i="1"/>
  <c r="AL378" i="1"/>
  <c r="AM378" i="1"/>
  <c r="AK379" i="1"/>
  <c r="AL379" i="1"/>
  <c r="AM379" i="1"/>
  <c r="AK380" i="1"/>
  <c r="AL380" i="1"/>
  <c r="AM380" i="1"/>
  <c r="AK381" i="1"/>
  <c r="AL381" i="1"/>
  <c r="AM381" i="1"/>
  <c r="AK382" i="1"/>
  <c r="AL382" i="1"/>
  <c r="AM382" i="1"/>
  <c r="AK383" i="1"/>
  <c r="AL383" i="1"/>
  <c r="AM383" i="1"/>
  <c r="AK384" i="1"/>
  <c r="AL384" i="1"/>
  <c r="AM384" i="1"/>
  <c r="AK385" i="1"/>
  <c r="AL385" i="1"/>
  <c r="AM385" i="1"/>
  <c r="AK386" i="1"/>
  <c r="AL386" i="1"/>
  <c r="AM386" i="1"/>
  <c r="AK387" i="1"/>
  <c r="AL387" i="1"/>
  <c r="AM387" i="1"/>
  <c r="AK388" i="1"/>
  <c r="AL388" i="1"/>
  <c r="AM388" i="1"/>
  <c r="AK389" i="1"/>
  <c r="AL389" i="1"/>
  <c r="AM389" i="1"/>
  <c r="AK390" i="1"/>
  <c r="AL390" i="1"/>
  <c r="AM390" i="1"/>
  <c r="AK391" i="1"/>
  <c r="AL391" i="1"/>
  <c r="AM391" i="1"/>
  <c r="AK392" i="1"/>
  <c r="AL392" i="1"/>
  <c r="AM392" i="1"/>
  <c r="AK393" i="1"/>
  <c r="AL393" i="1"/>
  <c r="AM393" i="1"/>
  <c r="AK394" i="1"/>
  <c r="AL394" i="1"/>
  <c r="AM394" i="1"/>
  <c r="AK395" i="1"/>
  <c r="AL395" i="1"/>
  <c r="AM395" i="1"/>
  <c r="AK396" i="1"/>
  <c r="AL396" i="1"/>
  <c r="AM396" i="1"/>
  <c r="AK397" i="1"/>
  <c r="AL397" i="1"/>
  <c r="AM397" i="1"/>
  <c r="AK398" i="1"/>
  <c r="AL398" i="1"/>
  <c r="AM398" i="1"/>
  <c r="AK399" i="1"/>
  <c r="AL399" i="1"/>
  <c r="AM399" i="1"/>
  <c r="AK400" i="1"/>
  <c r="AL400" i="1"/>
  <c r="AM400" i="1"/>
  <c r="AK401" i="1"/>
  <c r="AL401" i="1"/>
  <c r="AM401" i="1"/>
  <c r="AK402" i="1"/>
  <c r="AL402" i="1"/>
  <c r="AM402" i="1"/>
  <c r="AK403" i="1"/>
  <c r="AL403" i="1"/>
  <c r="AM403" i="1"/>
  <c r="AK404" i="1"/>
  <c r="AL404" i="1"/>
  <c r="AM404" i="1"/>
  <c r="AK405" i="1"/>
  <c r="AL405" i="1"/>
  <c r="AM405" i="1"/>
  <c r="AK406" i="1"/>
  <c r="AL406" i="1"/>
  <c r="AM406" i="1"/>
  <c r="AK407" i="1"/>
  <c r="AL407" i="1"/>
  <c r="AM407" i="1"/>
  <c r="AK408" i="1"/>
  <c r="AL408" i="1"/>
  <c r="AM408" i="1"/>
  <c r="AK409" i="1"/>
  <c r="AL409" i="1"/>
  <c r="AM409" i="1"/>
  <c r="AK410" i="1"/>
  <c r="AL410" i="1"/>
  <c r="AM410" i="1"/>
  <c r="AK411" i="1"/>
  <c r="AL411" i="1"/>
  <c r="AM411" i="1"/>
  <c r="AK412" i="1"/>
  <c r="AL412" i="1"/>
  <c r="AM412" i="1"/>
  <c r="AK413" i="1"/>
  <c r="AL413" i="1"/>
  <c r="AM413" i="1"/>
  <c r="AK414" i="1"/>
  <c r="AL414" i="1"/>
  <c r="AM414" i="1"/>
  <c r="AK416" i="1"/>
  <c r="AL416" i="1"/>
  <c r="AM416" i="1"/>
  <c r="AK417" i="1"/>
  <c r="AL417" i="1"/>
  <c r="AM417" i="1"/>
  <c r="AK418" i="1"/>
  <c r="AL418" i="1"/>
  <c r="AM418" i="1"/>
  <c r="AK419" i="1"/>
  <c r="AL419" i="1"/>
  <c r="AM419" i="1"/>
  <c r="AK420" i="1"/>
  <c r="AL420" i="1"/>
  <c r="AM420" i="1"/>
  <c r="AK421" i="1"/>
  <c r="AL421" i="1"/>
  <c r="AM421" i="1"/>
  <c r="AK422" i="1"/>
  <c r="AL422" i="1"/>
  <c r="AM422" i="1"/>
  <c r="AK423" i="1"/>
  <c r="AL423" i="1"/>
  <c r="AM423" i="1"/>
  <c r="AK424" i="1"/>
  <c r="AL424" i="1"/>
  <c r="AM424" i="1"/>
  <c r="AK425" i="1"/>
  <c r="AL425" i="1"/>
  <c r="AM425" i="1"/>
  <c r="AK426" i="1"/>
  <c r="AL426" i="1"/>
  <c r="AM426" i="1"/>
  <c r="AK427" i="1"/>
  <c r="AL427" i="1"/>
  <c r="AM427" i="1"/>
  <c r="AM218" i="1"/>
  <c r="AL218" i="1"/>
  <c r="AK218" i="1"/>
  <c r="AE218" i="1"/>
  <c r="AD218" i="1"/>
  <c r="AC218" i="1"/>
  <c r="W218" i="1"/>
  <c r="V218" i="1"/>
  <c r="U218" i="1"/>
  <c r="O218" i="1"/>
  <c r="N218" i="1"/>
  <c r="M218" i="1"/>
  <c r="V6" i="2" a="1"/>
  <c r="V6" i="2"/>
  <c r="U6" i="2" a="1"/>
  <c r="U6" i="2" s="1"/>
  <c r="T6" i="2" a="1"/>
  <c r="T6" i="2"/>
  <c r="V5" i="2" a="1"/>
  <c r="V5" i="2" s="1"/>
  <c r="U5" i="2" a="1"/>
  <c r="U5" i="2" s="1"/>
  <c r="T5" i="2" a="1"/>
  <c r="T5" i="2" s="1"/>
  <c r="S6" i="2" a="1"/>
  <c r="S6" i="2" s="1"/>
  <c r="S5" i="2" a="1"/>
  <c r="S5" i="2" s="1"/>
  <c r="V4" i="2" a="1"/>
  <c r="V4" i="2" s="1"/>
  <c r="U4" i="2" a="1"/>
  <c r="U4" i="2" s="1"/>
  <c r="T4" i="2" a="1"/>
  <c r="T4" i="2" s="1"/>
  <c r="S4" i="2" a="1"/>
  <c r="S4" i="2" s="1"/>
  <c r="E213" i="1"/>
  <c r="AK6" i="1"/>
  <c r="AL6" i="1"/>
  <c r="AM6" i="1"/>
  <c r="AK7" i="1"/>
  <c r="AL7" i="1"/>
  <c r="AM7" i="1"/>
  <c r="AK8" i="1"/>
  <c r="AL8" i="1"/>
  <c r="AM8" i="1"/>
  <c r="AK9" i="1"/>
  <c r="AL9" i="1"/>
  <c r="AM9" i="1"/>
  <c r="AK10" i="1"/>
  <c r="AL10" i="1"/>
  <c r="AM10" i="1"/>
  <c r="AK11" i="1"/>
  <c r="AL11" i="1"/>
  <c r="AM11" i="1"/>
  <c r="AK12" i="1"/>
  <c r="AL12" i="1"/>
  <c r="AM12" i="1"/>
  <c r="AK13" i="1"/>
  <c r="AL13" i="1"/>
  <c r="AM13" i="1"/>
  <c r="AK14" i="1"/>
  <c r="AL14" i="1"/>
  <c r="AM14" i="1"/>
  <c r="AK15" i="1"/>
  <c r="AL15" i="1"/>
  <c r="AM15" i="1"/>
  <c r="AK16" i="1"/>
  <c r="AL16" i="1"/>
  <c r="AM16" i="1"/>
  <c r="AK17" i="1"/>
  <c r="AL17" i="1"/>
  <c r="AM17" i="1"/>
  <c r="AK18" i="1"/>
  <c r="AL18" i="1"/>
  <c r="AM18" i="1"/>
  <c r="AK19" i="1"/>
  <c r="AL19" i="1"/>
  <c r="AM19" i="1"/>
  <c r="AK20" i="1"/>
  <c r="AL20" i="1"/>
  <c r="AM20" i="1"/>
  <c r="AK21" i="1"/>
  <c r="AL21" i="1"/>
  <c r="AM21" i="1"/>
  <c r="AK22" i="1"/>
  <c r="AL22" i="1"/>
  <c r="AM22" i="1"/>
  <c r="AK23" i="1"/>
  <c r="AL23" i="1"/>
  <c r="AM23" i="1"/>
  <c r="AK24" i="1"/>
  <c r="AL24" i="1"/>
  <c r="AM24" i="1"/>
  <c r="AK25" i="1"/>
  <c r="AL25" i="1"/>
  <c r="AM25" i="1"/>
  <c r="AK26" i="1"/>
  <c r="AL26" i="1"/>
  <c r="AM26" i="1"/>
  <c r="AK27" i="1"/>
  <c r="AL27" i="1"/>
  <c r="AM27" i="1"/>
  <c r="AK28" i="1"/>
  <c r="AL28" i="1"/>
  <c r="AM28" i="1"/>
  <c r="AK29" i="1"/>
  <c r="AL29" i="1"/>
  <c r="AM29" i="1"/>
  <c r="AK30" i="1"/>
  <c r="AL30" i="1"/>
  <c r="AM30" i="1"/>
  <c r="AK31" i="1"/>
  <c r="AL31" i="1"/>
  <c r="AM31" i="1"/>
  <c r="AK32" i="1"/>
  <c r="AL32" i="1"/>
  <c r="AM32" i="1"/>
  <c r="AK33" i="1"/>
  <c r="AL33" i="1"/>
  <c r="AM33" i="1"/>
  <c r="AK34" i="1"/>
  <c r="AL34" i="1"/>
  <c r="AM34" i="1"/>
  <c r="AK35" i="1"/>
  <c r="AL35" i="1"/>
  <c r="AM35" i="1"/>
  <c r="AK36" i="1"/>
  <c r="AL36" i="1"/>
  <c r="AM36" i="1"/>
  <c r="AK37" i="1"/>
  <c r="AL37" i="1"/>
  <c r="AM37" i="1"/>
  <c r="AK38" i="1"/>
  <c r="AL38" i="1"/>
  <c r="AM38" i="1"/>
  <c r="AK39" i="1"/>
  <c r="AL39" i="1"/>
  <c r="AM39" i="1"/>
  <c r="AK40" i="1"/>
  <c r="AL40" i="1"/>
  <c r="AM40" i="1"/>
  <c r="AK41" i="1"/>
  <c r="AL41" i="1"/>
  <c r="AM41" i="1"/>
  <c r="AK42" i="1"/>
  <c r="AL42" i="1"/>
  <c r="AM42" i="1"/>
  <c r="AK43" i="1"/>
  <c r="AL43" i="1"/>
  <c r="AM43" i="1"/>
  <c r="AK44" i="1"/>
  <c r="AL44" i="1"/>
  <c r="AM44" i="1"/>
  <c r="AK45" i="1"/>
  <c r="AL45" i="1"/>
  <c r="AM45" i="1"/>
  <c r="AK46" i="1"/>
  <c r="AL46" i="1"/>
  <c r="AM46" i="1"/>
  <c r="AK47" i="1"/>
  <c r="AL47" i="1"/>
  <c r="AM47" i="1"/>
  <c r="AK48" i="1"/>
  <c r="AL48" i="1"/>
  <c r="AM48" i="1"/>
  <c r="AK49" i="1"/>
  <c r="AL49" i="1"/>
  <c r="AM49" i="1"/>
  <c r="AK50" i="1"/>
  <c r="AL50" i="1"/>
  <c r="AM50" i="1"/>
  <c r="AK51" i="1"/>
  <c r="AL51" i="1"/>
  <c r="AM51" i="1"/>
  <c r="AK52" i="1"/>
  <c r="AL52" i="1"/>
  <c r="AM52" i="1"/>
  <c r="AK53" i="1"/>
  <c r="AL53" i="1"/>
  <c r="AM53" i="1"/>
  <c r="AK54" i="1"/>
  <c r="AL54" i="1"/>
  <c r="AM54" i="1"/>
  <c r="AK55" i="1"/>
  <c r="AL55" i="1"/>
  <c r="AM55" i="1"/>
  <c r="AK56" i="1"/>
  <c r="AL56" i="1"/>
  <c r="AM56" i="1"/>
  <c r="AK57" i="1"/>
  <c r="AL57" i="1"/>
  <c r="AM57" i="1"/>
  <c r="AK58" i="1"/>
  <c r="AL58" i="1"/>
  <c r="AM58" i="1"/>
  <c r="AK59" i="1"/>
  <c r="AL59" i="1"/>
  <c r="AM59" i="1"/>
  <c r="AK60" i="1"/>
  <c r="AL60" i="1"/>
  <c r="AM60" i="1"/>
  <c r="AK61" i="1"/>
  <c r="AL61" i="1"/>
  <c r="AM61" i="1"/>
  <c r="AK62" i="1"/>
  <c r="AL62" i="1"/>
  <c r="AM62" i="1"/>
  <c r="AK63" i="1"/>
  <c r="AL63" i="1"/>
  <c r="AM63" i="1"/>
  <c r="AK64" i="1"/>
  <c r="AL64" i="1"/>
  <c r="AM64" i="1"/>
  <c r="AK65" i="1"/>
  <c r="AL65" i="1"/>
  <c r="AM65" i="1"/>
  <c r="AK66" i="1"/>
  <c r="AL66" i="1"/>
  <c r="AM66" i="1"/>
  <c r="AK67" i="1"/>
  <c r="AL67" i="1"/>
  <c r="AM67" i="1"/>
  <c r="AK68" i="1"/>
  <c r="AL68" i="1"/>
  <c r="AM68" i="1"/>
  <c r="AK69" i="1"/>
  <c r="AL69" i="1"/>
  <c r="AM69" i="1"/>
  <c r="AK70" i="1"/>
  <c r="AL70" i="1"/>
  <c r="AM70" i="1"/>
  <c r="AK71" i="1"/>
  <c r="AL71" i="1"/>
  <c r="AM71" i="1"/>
  <c r="AK72" i="1"/>
  <c r="AL72" i="1"/>
  <c r="AM72" i="1"/>
  <c r="AK73" i="1"/>
  <c r="AL73" i="1"/>
  <c r="AM73" i="1"/>
  <c r="AK74" i="1"/>
  <c r="AL74" i="1"/>
  <c r="AM74" i="1"/>
  <c r="AK75" i="1"/>
  <c r="AL75" i="1"/>
  <c r="AM75" i="1"/>
  <c r="AK76" i="1"/>
  <c r="AL76" i="1"/>
  <c r="AM76" i="1"/>
  <c r="AK77" i="1"/>
  <c r="AL77" i="1"/>
  <c r="AM77" i="1"/>
  <c r="AK78" i="1"/>
  <c r="AL78" i="1"/>
  <c r="AM78" i="1"/>
  <c r="AK79" i="1"/>
  <c r="AL79" i="1"/>
  <c r="AM79" i="1"/>
  <c r="AK80" i="1"/>
  <c r="AL80" i="1"/>
  <c r="AM80" i="1"/>
  <c r="AK81" i="1"/>
  <c r="AL81" i="1"/>
  <c r="AM81" i="1"/>
  <c r="AK82" i="1"/>
  <c r="AL82" i="1"/>
  <c r="AM82" i="1"/>
  <c r="AK83" i="1"/>
  <c r="AL83" i="1"/>
  <c r="AM83" i="1"/>
  <c r="AK84" i="1"/>
  <c r="AL84" i="1"/>
  <c r="AM84" i="1"/>
  <c r="AK85" i="1"/>
  <c r="AL85" i="1"/>
  <c r="AM85" i="1"/>
  <c r="AK86" i="1"/>
  <c r="AL86" i="1"/>
  <c r="AM86" i="1"/>
  <c r="AK87" i="1"/>
  <c r="AL87" i="1"/>
  <c r="AM87" i="1"/>
  <c r="AK88" i="1"/>
  <c r="AL88" i="1"/>
  <c r="AM88" i="1"/>
  <c r="AK89" i="1"/>
  <c r="AL89" i="1"/>
  <c r="AM89" i="1"/>
  <c r="AK90" i="1"/>
  <c r="AL90" i="1"/>
  <c r="AM90" i="1"/>
  <c r="AK91" i="1"/>
  <c r="AL91" i="1"/>
  <c r="AM91" i="1"/>
  <c r="AK92" i="1"/>
  <c r="AL92" i="1"/>
  <c r="AM92" i="1"/>
  <c r="AK93" i="1"/>
  <c r="AL93" i="1"/>
  <c r="AM93" i="1"/>
  <c r="AK94" i="1"/>
  <c r="AL94" i="1"/>
  <c r="AM94" i="1"/>
  <c r="AK95" i="1"/>
  <c r="AL95" i="1"/>
  <c r="AM95" i="1"/>
  <c r="AK96" i="1"/>
  <c r="AL96" i="1"/>
  <c r="AM96" i="1"/>
  <c r="AK97" i="1"/>
  <c r="AL97" i="1"/>
  <c r="AM97" i="1"/>
  <c r="AK98" i="1"/>
  <c r="AL98" i="1"/>
  <c r="AM98" i="1"/>
  <c r="AK99" i="1"/>
  <c r="AL99" i="1"/>
  <c r="AM99" i="1"/>
  <c r="AK100" i="1"/>
  <c r="AL100" i="1"/>
  <c r="AM100" i="1"/>
  <c r="AK101" i="1"/>
  <c r="AL101" i="1"/>
  <c r="AM101" i="1"/>
  <c r="AK102" i="1"/>
  <c r="AL102" i="1"/>
  <c r="AM102" i="1"/>
  <c r="AK103" i="1"/>
  <c r="AL103" i="1"/>
  <c r="AM103" i="1"/>
  <c r="AK104" i="1"/>
  <c r="AL104" i="1"/>
  <c r="AM104" i="1"/>
  <c r="AK105" i="1"/>
  <c r="AL105" i="1"/>
  <c r="AM105" i="1"/>
  <c r="AK106" i="1"/>
  <c r="AL106" i="1"/>
  <c r="AM106" i="1"/>
  <c r="AK107" i="1"/>
  <c r="AL107" i="1"/>
  <c r="AM107" i="1"/>
  <c r="AK108" i="1"/>
  <c r="AL108" i="1"/>
  <c r="AM108" i="1"/>
  <c r="AK109" i="1"/>
  <c r="AL109" i="1"/>
  <c r="AM109" i="1"/>
  <c r="AK110" i="1"/>
  <c r="AL110" i="1"/>
  <c r="AM110" i="1"/>
  <c r="AK111" i="1"/>
  <c r="AL111" i="1"/>
  <c r="AM111" i="1"/>
  <c r="AK112" i="1"/>
  <c r="AL112" i="1"/>
  <c r="AM112" i="1"/>
  <c r="AK113" i="1"/>
  <c r="AL113" i="1"/>
  <c r="AM113" i="1"/>
  <c r="AK114" i="1"/>
  <c r="AL114" i="1"/>
  <c r="AM114" i="1"/>
  <c r="AK115" i="1"/>
  <c r="AL115" i="1"/>
  <c r="AM115" i="1"/>
  <c r="AK116" i="1"/>
  <c r="AL116" i="1"/>
  <c r="AM116" i="1"/>
  <c r="AK117" i="1"/>
  <c r="AL117" i="1"/>
  <c r="AM117" i="1"/>
  <c r="AK118" i="1"/>
  <c r="AL118" i="1"/>
  <c r="AM118" i="1"/>
  <c r="AK119" i="1"/>
  <c r="AL119" i="1"/>
  <c r="AM119" i="1"/>
  <c r="AK120" i="1"/>
  <c r="AL120" i="1"/>
  <c r="AM120" i="1"/>
  <c r="AK121" i="1"/>
  <c r="AL121" i="1"/>
  <c r="AM121" i="1"/>
  <c r="AK122" i="1"/>
  <c r="AL122" i="1"/>
  <c r="AM122" i="1"/>
  <c r="AK123" i="1"/>
  <c r="AL123" i="1"/>
  <c r="AM123" i="1"/>
  <c r="AK124" i="1"/>
  <c r="AL124" i="1"/>
  <c r="AM124" i="1"/>
  <c r="AK125" i="1"/>
  <c r="AL125" i="1"/>
  <c r="AM125" i="1"/>
  <c r="AK126" i="1"/>
  <c r="AL126" i="1"/>
  <c r="AM126" i="1"/>
  <c r="AK127" i="1"/>
  <c r="AL127" i="1"/>
  <c r="AM127" i="1"/>
  <c r="AK128" i="1"/>
  <c r="AL128" i="1"/>
  <c r="AM128" i="1"/>
  <c r="AK129" i="1"/>
  <c r="AL129" i="1"/>
  <c r="AM129" i="1"/>
  <c r="AK130" i="1"/>
  <c r="AL130" i="1"/>
  <c r="AM130" i="1"/>
  <c r="AK131" i="1"/>
  <c r="AL131" i="1"/>
  <c r="AM131" i="1"/>
  <c r="AK132" i="1"/>
  <c r="AL132" i="1"/>
  <c r="AM132" i="1"/>
  <c r="AK133" i="1"/>
  <c r="AL133" i="1"/>
  <c r="AM133" i="1"/>
  <c r="AK134" i="1"/>
  <c r="AL134" i="1"/>
  <c r="AM134" i="1"/>
  <c r="AK135" i="1"/>
  <c r="AL135" i="1"/>
  <c r="AM135" i="1"/>
  <c r="AK136" i="1"/>
  <c r="AL136" i="1"/>
  <c r="AM136" i="1"/>
  <c r="AK137" i="1"/>
  <c r="AL137" i="1"/>
  <c r="AM137" i="1"/>
  <c r="AK138" i="1"/>
  <c r="AL138" i="1"/>
  <c r="AM138" i="1"/>
  <c r="AK139" i="1"/>
  <c r="AL139" i="1"/>
  <c r="AM139" i="1"/>
  <c r="AK140" i="1"/>
  <c r="AL140" i="1"/>
  <c r="AM140" i="1"/>
  <c r="AK141" i="1"/>
  <c r="AL141" i="1"/>
  <c r="AM141" i="1"/>
  <c r="AK142" i="1"/>
  <c r="AL142" i="1"/>
  <c r="AM142" i="1"/>
  <c r="AK143" i="1"/>
  <c r="AL143" i="1"/>
  <c r="AM143" i="1"/>
  <c r="AK144" i="1"/>
  <c r="AL144" i="1"/>
  <c r="AM144" i="1"/>
  <c r="AK145" i="1"/>
  <c r="AL145" i="1"/>
  <c r="AM145" i="1"/>
  <c r="AK146" i="1"/>
  <c r="AL146" i="1"/>
  <c r="AM146" i="1"/>
  <c r="AK147" i="1"/>
  <c r="AL147" i="1"/>
  <c r="AM147" i="1"/>
  <c r="AK148" i="1"/>
  <c r="AL148" i="1"/>
  <c r="AM148" i="1"/>
  <c r="AK149" i="1"/>
  <c r="AL149" i="1"/>
  <c r="AM149" i="1"/>
  <c r="AK150" i="1"/>
  <c r="AL150" i="1"/>
  <c r="AM150" i="1"/>
  <c r="AK151" i="1"/>
  <c r="AL151" i="1"/>
  <c r="AM151" i="1"/>
  <c r="AK152" i="1"/>
  <c r="AL152" i="1"/>
  <c r="AM152" i="1"/>
  <c r="AK153" i="1"/>
  <c r="AL153" i="1"/>
  <c r="AM153" i="1"/>
  <c r="AK154" i="1"/>
  <c r="AL154" i="1"/>
  <c r="AM154" i="1"/>
  <c r="AK155" i="1"/>
  <c r="AL155" i="1"/>
  <c r="AM155" i="1"/>
  <c r="AK156" i="1"/>
  <c r="AL156" i="1"/>
  <c r="AM156" i="1"/>
  <c r="AK157" i="1"/>
  <c r="AL157" i="1"/>
  <c r="AM157" i="1"/>
  <c r="AK158" i="1"/>
  <c r="AL158" i="1"/>
  <c r="AM158" i="1"/>
  <c r="AK159" i="1"/>
  <c r="AL159" i="1"/>
  <c r="AM159" i="1"/>
  <c r="AK160" i="1"/>
  <c r="AL160" i="1"/>
  <c r="AM160" i="1"/>
  <c r="AK161" i="1"/>
  <c r="AL161" i="1"/>
  <c r="AM161" i="1"/>
  <c r="AK162" i="1"/>
  <c r="AL162" i="1"/>
  <c r="AM162" i="1"/>
  <c r="AK163" i="1"/>
  <c r="AL163" i="1"/>
  <c r="AM163" i="1"/>
  <c r="AK164" i="1"/>
  <c r="AL164" i="1"/>
  <c r="AM164" i="1"/>
  <c r="AK165" i="1"/>
  <c r="AL165" i="1"/>
  <c r="AM165" i="1"/>
  <c r="AK166" i="1"/>
  <c r="AL166" i="1"/>
  <c r="AM166" i="1"/>
  <c r="AK167" i="1"/>
  <c r="AL167" i="1"/>
  <c r="AM167" i="1"/>
  <c r="AK168" i="1"/>
  <c r="AL168" i="1"/>
  <c r="AM168" i="1"/>
  <c r="AK169" i="1"/>
  <c r="AL169" i="1"/>
  <c r="AM169" i="1"/>
  <c r="AK170" i="1"/>
  <c r="AL170" i="1"/>
  <c r="AM170" i="1"/>
  <c r="AK171" i="1"/>
  <c r="AL171" i="1"/>
  <c r="AM171" i="1"/>
  <c r="AK172" i="1"/>
  <c r="AL172" i="1"/>
  <c r="AM172" i="1"/>
  <c r="AK173" i="1"/>
  <c r="AL173" i="1"/>
  <c r="AM173" i="1"/>
  <c r="AK174" i="1"/>
  <c r="AL174" i="1"/>
  <c r="AM174" i="1"/>
  <c r="AK175" i="1"/>
  <c r="AL175" i="1"/>
  <c r="AM175" i="1"/>
  <c r="AK176" i="1"/>
  <c r="AL176" i="1"/>
  <c r="AM176" i="1"/>
  <c r="AK177" i="1"/>
  <c r="AL177" i="1"/>
  <c r="AM177" i="1"/>
  <c r="AK178" i="1"/>
  <c r="AL178" i="1"/>
  <c r="AM178" i="1"/>
  <c r="AK179" i="1"/>
  <c r="AL179" i="1"/>
  <c r="AM179" i="1"/>
  <c r="AK180" i="1"/>
  <c r="AL180" i="1"/>
  <c r="AM180" i="1"/>
  <c r="AK181" i="1"/>
  <c r="AL181" i="1"/>
  <c r="AM181" i="1"/>
  <c r="AK182" i="1"/>
  <c r="AL182" i="1"/>
  <c r="AM182" i="1"/>
  <c r="AK183" i="1"/>
  <c r="AL183" i="1"/>
  <c r="AM183" i="1"/>
  <c r="AK184" i="1"/>
  <c r="AL184" i="1"/>
  <c r="AM184" i="1"/>
  <c r="AK185" i="1"/>
  <c r="AL185" i="1"/>
  <c r="AM185" i="1"/>
  <c r="AK186" i="1"/>
  <c r="AL186" i="1"/>
  <c r="AM186" i="1"/>
  <c r="AK187" i="1"/>
  <c r="AL187" i="1"/>
  <c r="AM187" i="1"/>
  <c r="AK188" i="1"/>
  <c r="AL188" i="1"/>
  <c r="AM188" i="1"/>
  <c r="AK189" i="1"/>
  <c r="AL189" i="1"/>
  <c r="AM189" i="1"/>
  <c r="AK190" i="1"/>
  <c r="AL190" i="1"/>
  <c r="AM190" i="1"/>
  <c r="AK191" i="1"/>
  <c r="AL191" i="1"/>
  <c r="AM191" i="1"/>
  <c r="AK192" i="1"/>
  <c r="AL192" i="1"/>
  <c r="AM192" i="1"/>
  <c r="AK193" i="1"/>
  <c r="AL193" i="1"/>
  <c r="AM193" i="1"/>
  <c r="AK194" i="1"/>
  <c r="AL194" i="1"/>
  <c r="AM194" i="1"/>
  <c r="AK195" i="1"/>
  <c r="AL195" i="1"/>
  <c r="AM195" i="1"/>
  <c r="AK196" i="1"/>
  <c r="AL196" i="1"/>
  <c r="AM196" i="1"/>
  <c r="AK197" i="1"/>
  <c r="AL197" i="1"/>
  <c r="AM197" i="1"/>
  <c r="AK198" i="1"/>
  <c r="AL198" i="1"/>
  <c r="AM198" i="1"/>
  <c r="AK199" i="1"/>
  <c r="AL199" i="1"/>
  <c r="AM199" i="1"/>
  <c r="AK200" i="1"/>
  <c r="AL200" i="1"/>
  <c r="AM200" i="1"/>
  <c r="AK201" i="1"/>
  <c r="AL201" i="1"/>
  <c r="AM201" i="1"/>
  <c r="AK202" i="1"/>
  <c r="AL202" i="1"/>
  <c r="AM202" i="1"/>
  <c r="AK203" i="1"/>
  <c r="AL203" i="1"/>
  <c r="AM203" i="1"/>
  <c r="AK204" i="1"/>
  <c r="AL204" i="1"/>
  <c r="AM204" i="1"/>
  <c r="AK205" i="1"/>
  <c r="AL205" i="1"/>
  <c r="AM205" i="1"/>
  <c r="AK206" i="1"/>
  <c r="AL206" i="1"/>
  <c r="AM206" i="1"/>
  <c r="AK207" i="1"/>
  <c r="AL207" i="1"/>
  <c r="AM207" i="1"/>
  <c r="AK208" i="1"/>
  <c r="AL208" i="1"/>
  <c r="AM208" i="1"/>
  <c r="AK209" i="1"/>
  <c r="AL209" i="1"/>
  <c r="AM209" i="1"/>
  <c r="AK210" i="1"/>
  <c r="AL210" i="1"/>
  <c r="AM210" i="1"/>
  <c r="AK211" i="1"/>
  <c r="AL211" i="1"/>
  <c r="AM211" i="1"/>
  <c r="AK212" i="1"/>
  <c r="AL212" i="1"/>
  <c r="AM212" i="1"/>
  <c r="AK213" i="1"/>
  <c r="AL213" i="1"/>
  <c r="AM213" i="1"/>
  <c r="AC6" i="1"/>
  <c r="AD6" i="1"/>
  <c r="AE6" i="1"/>
  <c r="AC7" i="1"/>
  <c r="AD7" i="1"/>
  <c r="AE7" i="1"/>
  <c r="AC8" i="1"/>
  <c r="AD8" i="1"/>
  <c r="AE8" i="1"/>
  <c r="AC9" i="1"/>
  <c r="AD9" i="1"/>
  <c r="AE9" i="1"/>
  <c r="AC11" i="1"/>
  <c r="AD11" i="1"/>
  <c r="AE11" i="1"/>
  <c r="AC12" i="1"/>
  <c r="AD12" i="1"/>
  <c r="AE12" i="1"/>
  <c r="AC13" i="1"/>
  <c r="AD13" i="1"/>
  <c r="AE13" i="1"/>
  <c r="AC14" i="1"/>
  <c r="AD14" i="1"/>
  <c r="AE14" i="1"/>
  <c r="AC15" i="1"/>
  <c r="AD15" i="1"/>
  <c r="AE15" i="1"/>
  <c r="AC17" i="1"/>
  <c r="AD17" i="1"/>
  <c r="AE17" i="1"/>
  <c r="AC18" i="1"/>
  <c r="AD18" i="1"/>
  <c r="AE18" i="1"/>
  <c r="AC19" i="1"/>
  <c r="AD19" i="1"/>
  <c r="AE19" i="1"/>
  <c r="AC21" i="1"/>
  <c r="AD21" i="1"/>
  <c r="AE21" i="1"/>
  <c r="AC22" i="1"/>
  <c r="AD22" i="1"/>
  <c r="AE22" i="1"/>
  <c r="AC23" i="1"/>
  <c r="AD23" i="1"/>
  <c r="AE23" i="1"/>
  <c r="AC24" i="1"/>
  <c r="AD24" i="1"/>
  <c r="AE24" i="1"/>
  <c r="AC25" i="1"/>
  <c r="AD25" i="1"/>
  <c r="AE25" i="1"/>
  <c r="AC26" i="1"/>
  <c r="AD26" i="1"/>
  <c r="AE26" i="1"/>
  <c r="AC28" i="1"/>
  <c r="AD28" i="1"/>
  <c r="AE28" i="1"/>
  <c r="AC29" i="1"/>
  <c r="AD29" i="1"/>
  <c r="AE29" i="1"/>
  <c r="AC30" i="1"/>
  <c r="AD30" i="1"/>
  <c r="AE30" i="1"/>
  <c r="AC31" i="1"/>
  <c r="AD31" i="1"/>
  <c r="AE31" i="1"/>
  <c r="AC32" i="1"/>
  <c r="AD32" i="1"/>
  <c r="AE32" i="1"/>
  <c r="AC33" i="1"/>
  <c r="AD33" i="1"/>
  <c r="AE33" i="1"/>
  <c r="AC34" i="1"/>
  <c r="AD34" i="1"/>
  <c r="AE34" i="1"/>
  <c r="AC35" i="1"/>
  <c r="AD35" i="1"/>
  <c r="AE35" i="1"/>
  <c r="AC36" i="1"/>
  <c r="AD36" i="1"/>
  <c r="AE36" i="1"/>
  <c r="AC37" i="1"/>
  <c r="AD37" i="1"/>
  <c r="AE37" i="1"/>
  <c r="AC38" i="1"/>
  <c r="AD38" i="1"/>
  <c r="AE38" i="1"/>
  <c r="AC39" i="1"/>
  <c r="AD39" i="1"/>
  <c r="AE39" i="1"/>
  <c r="AC40" i="1"/>
  <c r="AD40" i="1"/>
  <c r="AE40" i="1"/>
  <c r="AC41" i="1"/>
  <c r="AD41" i="1"/>
  <c r="AE41" i="1"/>
  <c r="AC43" i="1"/>
  <c r="AD43" i="1"/>
  <c r="AE43" i="1"/>
  <c r="AC44" i="1"/>
  <c r="AD44" i="1"/>
  <c r="AE44" i="1"/>
  <c r="AC45" i="1"/>
  <c r="AD45" i="1"/>
  <c r="AE45" i="1"/>
  <c r="AC46" i="1"/>
  <c r="AD46" i="1"/>
  <c r="AE46" i="1"/>
  <c r="AC47" i="1"/>
  <c r="AD47" i="1"/>
  <c r="AE47" i="1"/>
  <c r="AC48" i="1"/>
  <c r="AD48" i="1"/>
  <c r="AE48" i="1"/>
  <c r="AC49" i="1"/>
  <c r="AD49" i="1"/>
  <c r="AE49" i="1"/>
  <c r="AC50" i="1"/>
  <c r="AD50" i="1"/>
  <c r="AE50" i="1"/>
  <c r="AC51" i="1"/>
  <c r="AD51" i="1"/>
  <c r="AE51" i="1"/>
  <c r="AC52" i="1"/>
  <c r="AD52" i="1"/>
  <c r="AE52" i="1"/>
  <c r="AC53" i="1"/>
  <c r="AD53" i="1"/>
  <c r="AE53" i="1"/>
  <c r="AC54" i="1"/>
  <c r="AD54" i="1"/>
  <c r="AE54" i="1"/>
  <c r="AC55" i="1"/>
  <c r="AD55" i="1"/>
  <c r="AE55" i="1"/>
  <c r="AC56" i="1"/>
  <c r="AD56" i="1"/>
  <c r="AE56" i="1"/>
  <c r="AC57" i="1"/>
  <c r="AD57" i="1"/>
  <c r="AE57" i="1"/>
  <c r="AC58" i="1"/>
  <c r="AD58" i="1"/>
  <c r="AE58" i="1"/>
  <c r="AC60" i="1"/>
  <c r="AD60" i="1"/>
  <c r="AE60" i="1"/>
  <c r="AC61" i="1"/>
  <c r="AD61" i="1"/>
  <c r="AE61" i="1"/>
  <c r="AC62" i="1"/>
  <c r="AD62" i="1"/>
  <c r="AE62" i="1"/>
  <c r="AC64" i="1"/>
  <c r="AD64" i="1"/>
  <c r="AE64" i="1"/>
  <c r="AC65" i="1"/>
  <c r="AD65" i="1"/>
  <c r="AE65" i="1"/>
  <c r="AC66" i="1"/>
  <c r="AD66" i="1"/>
  <c r="AE66" i="1"/>
  <c r="AC67" i="1"/>
  <c r="AD67" i="1"/>
  <c r="AE67" i="1"/>
  <c r="AC69" i="1"/>
  <c r="AD69" i="1"/>
  <c r="AE69" i="1"/>
  <c r="AC70" i="1"/>
  <c r="AD70" i="1"/>
  <c r="AE70" i="1"/>
  <c r="AC71" i="1"/>
  <c r="AD71" i="1"/>
  <c r="AE71" i="1"/>
  <c r="AC72" i="1"/>
  <c r="AD72" i="1"/>
  <c r="AE72" i="1"/>
  <c r="AC73" i="1"/>
  <c r="AD73" i="1"/>
  <c r="AE73" i="1"/>
  <c r="AC74" i="1"/>
  <c r="AD74" i="1"/>
  <c r="AE74" i="1"/>
  <c r="AC75" i="1"/>
  <c r="AD75" i="1"/>
  <c r="AE75" i="1"/>
  <c r="AC76" i="1"/>
  <c r="AD76" i="1"/>
  <c r="AE76" i="1"/>
  <c r="AC77" i="1"/>
  <c r="AD77" i="1"/>
  <c r="AE77" i="1"/>
  <c r="AC78" i="1"/>
  <c r="AD78" i="1"/>
  <c r="AE78" i="1"/>
  <c r="AC80" i="1"/>
  <c r="AD80" i="1"/>
  <c r="AE80" i="1"/>
  <c r="AC81" i="1"/>
  <c r="AD81" i="1"/>
  <c r="AE81" i="1"/>
  <c r="AC82" i="1"/>
  <c r="AD82" i="1"/>
  <c r="AE82" i="1"/>
  <c r="AC83" i="1"/>
  <c r="AD83" i="1"/>
  <c r="AE83" i="1"/>
  <c r="AC84" i="1"/>
  <c r="AD84" i="1"/>
  <c r="AE84" i="1"/>
  <c r="AC85" i="1"/>
  <c r="AD85" i="1"/>
  <c r="AE85" i="1"/>
  <c r="AC86" i="1"/>
  <c r="AD86" i="1"/>
  <c r="AE86" i="1"/>
  <c r="AC87" i="1"/>
  <c r="AD87" i="1"/>
  <c r="AE87" i="1"/>
  <c r="AC88" i="1"/>
  <c r="AD88" i="1"/>
  <c r="AE88" i="1"/>
  <c r="AC89" i="1"/>
  <c r="AD89" i="1"/>
  <c r="AE89" i="1"/>
  <c r="AC90" i="1"/>
  <c r="AD90" i="1"/>
  <c r="AE90" i="1"/>
  <c r="AC91" i="1"/>
  <c r="AD91" i="1"/>
  <c r="AE91" i="1"/>
  <c r="AC92" i="1"/>
  <c r="AD92" i="1"/>
  <c r="AE92" i="1"/>
  <c r="AC93" i="1"/>
  <c r="AD93" i="1"/>
  <c r="AE93" i="1"/>
  <c r="AC94" i="1"/>
  <c r="AD94" i="1"/>
  <c r="AE94" i="1"/>
  <c r="AC95" i="1"/>
  <c r="AD95" i="1"/>
  <c r="AE95" i="1"/>
  <c r="AC96" i="1"/>
  <c r="AD96" i="1"/>
  <c r="AE96" i="1"/>
  <c r="AC97" i="1"/>
  <c r="AD97" i="1"/>
  <c r="AE97" i="1"/>
  <c r="AC98" i="1"/>
  <c r="AD98" i="1"/>
  <c r="AE98" i="1"/>
  <c r="AC99" i="1"/>
  <c r="AD99" i="1"/>
  <c r="AE99" i="1"/>
  <c r="AC100" i="1"/>
  <c r="AD100" i="1"/>
  <c r="AE100" i="1"/>
  <c r="AC101" i="1"/>
  <c r="AD101" i="1"/>
  <c r="AE101" i="1"/>
  <c r="AC102" i="1"/>
  <c r="AD102" i="1"/>
  <c r="AE102" i="1"/>
  <c r="AC104" i="1"/>
  <c r="AD104" i="1"/>
  <c r="AE104" i="1"/>
  <c r="AC105" i="1"/>
  <c r="AD105" i="1"/>
  <c r="AE105" i="1"/>
  <c r="AC106" i="1"/>
  <c r="AD106" i="1"/>
  <c r="AE106" i="1"/>
  <c r="AC107" i="1"/>
  <c r="AD107" i="1"/>
  <c r="AE107" i="1"/>
  <c r="AC108" i="1"/>
  <c r="AD108" i="1"/>
  <c r="AE108" i="1"/>
  <c r="AC109" i="1"/>
  <c r="AD109" i="1"/>
  <c r="AE109" i="1"/>
  <c r="AC110" i="1"/>
  <c r="AD110" i="1"/>
  <c r="AE110" i="1"/>
  <c r="AC111" i="1"/>
  <c r="AD111" i="1"/>
  <c r="AE111" i="1"/>
  <c r="AC112" i="1"/>
  <c r="AD112" i="1"/>
  <c r="AE112" i="1"/>
  <c r="AC113" i="1"/>
  <c r="AD113" i="1"/>
  <c r="AE113" i="1"/>
  <c r="AC114" i="1"/>
  <c r="AD114" i="1"/>
  <c r="AE114" i="1"/>
  <c r="AC115" i="1"/>
  <c r="AD115" i="1"/>
  <c r="AE115" i="1"/>
  <c r="AC116" i="1"/>
  <c r="AD116" i="1"/>
  <c r="AE116" i="1"/>
  <c r="AC118" i="1"/>
  <c r="AD118" i="1"/>
  <c r="AE118" i="1"/>
  <c r="AC119" i="1"/>
  <c r="AD119" i="1"/>
  <c r="AE119" i="1"/>
  <c r="AC120" i="1"/>
  <c r="AD120" i="1"/>
  <c r="AE120" i="1"/>
  <c r="AC121" i="1"/>
  <c r="AD121" i="1"/>
  <c r="AE121" i="1"/>
  <c r="AC122" i="1"/>
  <c r="AD122" i="1"/>
  <c r="AE122" i="1"/>
  <c r="AC123" i="1"/>
  <c r="AD123" i="1"/>
  <c r="AE123" i="1"/>
  <c r="AC124" i="1"/>
  <c r="AD124" i="1"/>
  <c r="AE124" i="1"/>
  <c r="AC125" i="1"/>
  <c r="AD125" i="1"/>
  <c r="AE125" i="1"/>
  <c r="AC126" i="1"/>
  <c r="AD126" i="1"/>
  <c r="AE126" i="1"/>
  <c r="AC127" i="1"/>
  <c r="AD127" i="1"/>
  <c r="AE127" i="1"/>
  <c r="AC128" i="1"/>
  <c r="AD128" i="1"/>
  <c r="AE128" i="1"/>
  <c r="AC129" i="1"/>
  <c r="AD129" i="1"/>
  <c r="AE129" i="1"/>
  <c r="AC130" i="1"/>
  <c r="AD130" i="1"/>
  <c r="AE130" i="1"/>
  <c r="AC131" i="1"/>
  <c r="AD131" i="1"/>
  <c r="AE131" i="1"/>
  <c r="AC132" i="1"/>
  <c r="AD132" i="1"/>
  <c r="AE132" i="1"/>
  <c r="AC133" i="1"/>
  <c r="AD133" i="1"/>
  <c r="AE133" i="1"/>
  <c r="AC134" i="1"/>
  <c r="AD134" i="1"/>
  <c r="AE134" i="1"/>
  <c r="AC136" i="1"/>
  <c r="AD136" i="1"/>
  <c r="AE136" i="1"/>
  <c r="AC138" i="1"/>
  <c r="AD138" i="1"/>
  <c r="AE138" i="1"/>
  <c r="AC140" i="1"/>
  <c r="AD140" i="1"/>
  <c r="AE140" i="1"/>
  <c r="AC141" i="1"/>
  <c r="AD141" i="1"/>
  <c r="AE141" i="1"/>
  <c r="AC142" i="1"/>
  <c r="AD142" i="1"/>
  <c r="AE142" i="1"/>
  <c r="AC143" i="1"/>
  <c r="AD143" i="1"/>
  <c r="AE143" i="1"/>
  <c r="AC144" i="1"/>
  <c r="AD144" i="1"/>
  <c r="AE144" i="1"/>
  <c r="AC145" i="1"/>
  <c r="AD145" i="1"/>
  <c r="AE145" i="1"/>
  <c r="AC146" i="1"/>
  <c r="AD146" i="1"/>
  <c r="AE146" i="1"/>
  <c r="AC147" i="1"/>
  <c r="AD147" i="1"/>
  <c r="AE147" i="1"/>
  <c r="AC148" i="1"/>
  <c r="AD148" i="1"/>
  <c r="AE148" i="1"/>
  <c r="AC149" i="1"/>
  <c r="AD149" i="1"/>
  <c r="AE149" i="1"/>
  <c r="AC150" i="1"/>
  <c r="AD150" i="1"/>
  <c r="AE150" i="1"/>
  <c r="AC151" i="1"/>
  <c r="AD151" i="1"/>
  <c r="AE151" i="1"/>
  <c r="AC152" i="1"/>
  <c r="AD152" i="1"/>
  <c r="AE152" i="1"/>
  <c r="AC153" i="1"/>
  <c r="AD153" i="1"/>
  <c r="AE153" i="1"/>
  <c r="AC154" i="1"/>
  <c r="AD154" i="1"/>
  <c r="AE154" i="1"/>
  <c r="AC155" i="1"/>
  <c r="AD155" i="1"/>
  <c r="AE155" i="1"/>
  <c r="AC156" i="1"/>
  <c r="AD156" i="1"/>
  <c r="AE156" i="1"/>
  <c r="AC157" i="1"/>
  <c r="AD157" i="1"/>
  <c r="AE157" i="1"/>
  <c r="AC158" i="1"/>
  <c r="AD158" i="1"/>
  <c r="AE158" i="1"/>
  <c r="AC160" i="1"/>
  <c r="AD160" i="1"/>
  <c r="AE160" i="1"/>
  <c r="AC161" i="1"/>
  <c r="AD161" i="1"/>
  <c r="AE161" i="1"/>
  <c r="AC162" i="1"/>
  <c r="AD162" i="1"/>
  <c r="AE162" i="1"/>
  <c r="AC163" i="1"/>
  <c r="AD163" i="1"/>
  <c r="AE163" i="1"/>
  <c r="AC164" i="1"/>
  <c r="AD164" i="1"/>
  <c r="AE164" i="1"/>
  <c r="AC165" i="1"/>
  <c r="AD165" i="1"/>
  <c r="AE165" i="1"/>
  <c r="AC167" i="1"/>
  <c r="AD167" i="1"/>
  <c r="AE167" i="1"/>
  <c r="AC168" i="1"/>
  <c r="AD168" i="1"/>
  <c r="AE168" i="1"/>
  <c r="AC169" i="1"/>
  <c r="AD169" i="1"/>
  <c r="AE169" i="1"/>
  <c r="AC170" i="1"/>
  <c r="AD170" i="1"/>
  <c r="AE170" i="1"/>
  <c r="AC171" i="1"/>
  <c r="AD171" i="1"/>
  <c r="AE171" i="1"/>
  <c r="AC172" i="1"/>
  <c r="AD172" i="1"/>
  <c r="AE172" i="1"/>
  <c r="AC173" i="1"/>
  <c r="AD173" i="1"/>
  <c r="AE173" i="1"/>
  <c r="AC175" i="1"/>
  <c r="AD175" i="1"/>
  <c r="AE175" i="1"/>
  <c r="AC177" i="1"/>
  <c r="AD177" i="1"/>
  <c r="AE177" i="1"/>
  <c r="AC178" i="1"/>
  <c r="AD178" i="1"/>
  <c r="AE178" i="1"/>
  <c r="AC179" i="1"/>
  <c r="AD179" i="1"/>
  <c r="AE179" i="1"/>
  <c r="AC181" i="1"/>
  <c r="AD181" i="1"/>
  <c r="AE181" i="1"/>
  <c r="AC182" i="1"/>
  <c r="AD182" i="1"/>
  <c r="AE182" i="1"/>
  <c r="AC183" i="1"/>
  <c r="AD183" i="1"/>
  <c r="AE183" i="1"/>
  <c r="AC184" i="1"/>
  <c r="AD184" i="1"/>
  <c r="AE184" i="1"/>
  <c r="AC185" i="1"/>
  <c r="AD185" i="1"/>
  <c r="AE185" i="1"/>
  <c r="AC186" i="1"/>
  <c r="AD186" i="1"/>
  <c r="AE186" i="1"/>
  <c r="AC187" i="1"/>
  <c r="AD187" i="1"/>
  <c r="AE187" i="1"/>
  <c r="AC189" i="1"/>
  <c r="AD189" i="1"/>
  <c r="AE189" i="1"/>
  <c r="AC190" i="1"/>
  <c r="AD190" i="1"/>
  <c r="AE190" i="1"/>
  <c r="AC191" i="1"/>
  <c r="AD191" i="1"/>
  <c r="AE191" i="1"/>
  <c r="AC192" i="1"/>
  <c r="AD192" i="1"/>
  <c r="AE192" i="1"/>
  <c r="AC193" i="1"/>
  <c r="AD193" i="1"/>
  <c r="AE193" i="1"/>
  <c r="AC194" i="1"/>
  <c r="AD194" i="1"/>
  <c r="AE194" i="1"/>
  <c r="AC195" i="1"/>
  <c r="AD195" i="1"/>
  <c r="AE195" i="1"/>
  <c r="AC196" i="1"/>
  <c r="AD196" i="1"/>
  <c r="AE196" i="1"/>
  <c r="AC197" i="1"/>
  <c r="AD197" i="1"/>
  <c r="AE197" i="1"/>
  <c r="AC198" i="1"/>
  <c r="AD198" i="1"/>
  <c r="AE198" i="1"/>
  <c r="AC199" i="1"/>
  <c r="AD199" i="1"/>
  <c r="AE199" i="1"/>
  <c r="AC200" i="1"/>
  <c r="AD200" i="1"/>
  <c r="AE200" i="1"/>
  <c r="AC201" i="1"/>
  <c r="AD201" i="1"/>
  <c r="AE201" i="1"/>
  <c r="AC203" i="1"/>
  <c r="AD203" i="1"/>
  <c r="AE203" i="1"/>
  <c r="AC204" i="1"/>
  <c r="AD204" i="1"/>
  <c r="AE204" i="1"/>
  <c r="AC205" i="1"/>
  <c r="AD205" i="1"/>
  <c r="AE205" i="1"/>
  <c r="AC206" i="1"/>
  <c r="AD206" i="1"/>
  <c r="AE206" i="1"/>
  <c r="AC207" i="1"/>
  <c r="AD207" i="1"/>
  <c r="AE207" i="1"/>
  <c r="AC208" i="1"/>
  <c r="AD208" i="1"/>
  <c r="AE208" i="1"/>
  <c r="AC209" i="1"/>
  <c r="AD209" i="1"/>
  <c r="AE209" i="1"/>
  <c r="AC210" i="1"/>
  <c r="AD210" i="1"/>
  <c r="AE210" i="1"/>
  <c r="AC211" i="1"/>
  <c r="AD211" i="1"/>
  <c r="AE211" i="1"/>
  <c r="AC212" i="1"/>
  <c r="AD212" i="1"/>
  <c r="AE212" i="1"/>
  <c r="AC213" i="1"/>
  <c r="AD213" i="1"/>
  <c r="AE213" i="1"/>
  <c r="AC214" i="1"/>
  <c r="AD214" i="1"/>
  <c r="AE214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U53" i="1"/>
  <c r="V53" i="1"/>
  <c r="W53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U74" i="1"/>
  <c r="V74" i="1"/>
  <c r="W74" i="1"/>
  <c r="U75" i="1"/>
  <c r="V75" i="1"/>
  <c r="W75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U104" i="1"/>
  <c r="V104" i="1"/>
  <c r="W104" i="1"/>
  <c r="U105" i="1"/>
  <c r="V105" i="1"/>
  <c r="W105" i="1"/>
  <c r="U106" i="1"/>
  <c r="V106" i="1"/>
  <c r="W106" i="1"/>
  <c r="U107" i="1"/>
  <c r="V107" i="1"/>
  <c r="W107" i="1"/>
  <c r="U108" i="1"/>
  <c r="V108" i="1"/>
  <c r="W108" i="1"/>
  <c r="U109" i="1"/>
  <c r="V109" i="1"/>
  <c r="W109" i="1"/>
  <c r="U110" i="1"/>
  <c r="V110" i="1"/>
  <c r="W110" i="1"/>
  <c r="U111" i="1"/>
  <c r="V111" i="1"/>
  <c r="W111" i="1"/>
  <c r="U112" i="1"/>
  <c r="V112" i="1"/>
  <c r="W112" i="1"/>
  <c r="U113" i="1"/>
  <c r="V113" i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18" i="1"/>
  <c r="V118" i="1"/>
  <c r="W118" i="1"/>
  <c r="U119" i="1"/>
  <c r="V119" i="1"/>
  <c r="W119" i="1"/>
  <c r="U120" i="1"/>
  <c r="V120" i="1"/>
  <c r="W120" i="1"/>
  <c r="U121" i="1"/>
  <c r="V121" i="1"/>
  <c r="W121" i="1"/>
  <c r="U122" i="1"/>
  <c r="V122" i="1"/>
  <c r="W122" i="1"/>
  <c r="U123" i="1"/>
  <c r="V123" i="1"/>
  <c r="W123" i="1"/>
  <c r="U124" i="1"/>
  <c r="V124" i="1"/>
  <c r="W124" i="1"/>
  <c r="U125" i="1"/>
  <c r="V125" i="1"/>
  <c r="W125" i="1"/>
  <c r="U126" i="1"/>
  <c r="V126" i="1"/>
  <c r="W126" i="1"/>
  <c r="U127" i="1"/>
  <c r="V127" i="1"/>
  <c r="W127" i="1"/>
  <c r="U128" i="1"/>
  <c r="V128" i="1"/>
  <c r="W128" i="1"/>
  <c r="U129" i="1"/>
  <c r="V129" i="1"/>
  <c r="W129" i="1"/>
  <c r="U130" i="1"/>
  <c r="V130" i="1"/>
  <c r="W130" i="1"/>
  <c r="U131" i="1"/>
  <c r="V131" i="1"/>
  <c r="W131" i="1"/>
  <c r="U132" i="1"/>
  <c r="V132" i="1"/>
  <c r="W132" i="1"/>
  <c r="U133" i="1"/>
  <c r="V133" i="1"/>
  <c r="W133" i="1"/>
  <c r="U134" i="1"/>
  <c r="V134" i="1"/>
  <c r="W134" i="1"/>
  <c r="U135" i="1"/>
  <c r="V135" i="1"/>
  <c r="W135" i="1"/>
  <c r="U136" i="1"/>
  <c r="V136" i="1"/>
  <c r="W136" i="1"/>
  <c r="U137" i="1"/>
  <c r="V137" i="1"/>
  <c r="W137" i="1"/>
  <c r="U138" i="1"/>
  <c r="V138" i="1"/>
  <c r="W138" i="1"/>
  <c r="U139" i="1"/>
  <c r="V139" i="1"/>
  <c r="W139" i="1"/>
  <c r="U140" i="1"/>
  <c r="V140" i="1"/>
  <c r="W140" i="1"/>
  <c r="U141" i="1"/>
  <c r="V141" i="1"/>
  <c r="W141" i="1"/>
  <c r="U142" i="1"/>
  <c r="V142" i="1"/>
  <c r="W142" i="1"/>
  <c r="U143" i="1"/>
  <c r="V143" i="1"/>
  <c r="W143" i="1"/>
  <c r="U144" i="1"/>
  <c r="V144" i="1"/>
  <c r="W144" i="1"/>
  <c r="U145" i="1"/>
  <c r="V145" i="1"/>
  <c r="W145" i="1"/>
  <c r="U146" i="1"/>
  <c r="V146" i="1"/>
  <c r="W146" i="1"/>
  <c r="U147" i="1"/>
  <c r="V147" i="1"/>
  <c r="W147" i="1"/>
  <c r="U148" i="1"/>
  <c r="V148" i="1"/>
  <c r="W148" i="1"/>
  <c r="U149" i="1"/>
  <c r="V149" i="1"/>
  <c r="W149" i="1"/>
  <c r="U150" i="1"/>
  <c r="V150" i="1"/>
  <c r="W150" i="1"/>
  <c r="U151" i="1"/>
  <c r="V151" i="1"/>
  <c r="W151" i="1"/>
  <c r="U152" i="1"/>
  <c r="V152" i="1"/>
  <c r="W152" i="1"/>
  <c r="U153" i="1"/>
  <c r="V153" i="1"/>
  <c r="W153" i="1"/>
  <c r="U154" i="1"/>
  <c r="V154" i="1"/>
  <c r="W154" i="1"/>
  <c r="U155" i="1"/>
  <c r="V155" i="1"/>
  <c r="W155" i="1"/>
  <c r="U156" i="1"/>
  <c r="V156" i="1"/>
  <c r="W156" i="1"/>
  <c r="U157" i="1"/>
  <c r="V157" i="1"/>
  <c r="W157" i="1"/>
  <c r="U158" i="1"/>
  <c r="V158" i="1"/>
  <c r="W158" i="1"/>
  <c r="U159" i="1"/>
  <c r="V159" i="1"/>
  <c r="W159" i="1"/>
  <c r="U160" i="1"/>
  <c r="V160" i="1"/>
  <c r="W160" i="1"/>
  <c r="U161" i="1"/>
  <c r="V161" i="1"/>
  <c r="W161" i="1"/>
  <c r="U162" i="1"/>
  <c r="V162" i="1"/>
  <c r="W162" i="1"/>
  <c r="U163" i="1"/>
  <c r="V163" i="1"/>
  <c r="W163" i="1"/>
  <c r="U164" i="1"/>
  <c r="V164" i="1"/>
  <c r="W164" i="1"/>
  <c r="U165" i="1"/>
  <c r="V165" i="1"/>
  <c r="W165" i="1"/>
  <c r="U166" i="1"/>
  <c r="V166" i="1"/>
  <c r="W166" i="1"/>
  <c r="U167" i="1"/>
  <c r="V167" i="1"/>
  <c r="W167" i="1"/>
  <c r="U168" i="1"/>
  <c r="V168" i="1"/>
  <c r="W168" i="1"/>
  <c r="U169" i="1"/>
  <c r="V169" i="1"/>
  <c r="W169" i="1"/>
  <c r="U170" i="1"/>
  <c r="V170" i="1"/>
  <c r="W170" i="1"/>
  <c r="U171" i="1"/>
  <c r="V171" i="1"/>
  <c r="W171" i="1"/>
  <c r="U172" i="1"/>
  <c r="V172" i="1"/>
  <c r="W172" i="1"/>
  <c r="U173" i="1"/>
  <c r="V173" i="1"/>
  <c r="W173" i="1"/>
  <c r="U174" i="1"/>
  <c r="V174" i="1"/>
  <c r="W174" i="1"/>
  <c r="U175" i="1"/>
  <c r="V175" i="1"/>
  <c r="W175" i="1"/>
  <c r="U176" i="1"/>
  <c r="V176" i="1"/>
  <c r="W176" i="1"/>
  <c r="U177" i="1"/>
  <c r="V177" i="1"/>
  <c r="W177" i="1"/>
  <c r="U178" i="1"/>
  <c r="V178" i="1"/>
  <c r="W178" i="1"/>
  <c r="U179" i="1"/>
  <c r="V179" i="1"/>
  <c r="W179" i="1"/>
  <c r="U180" i="1"/>
  <c r="V180" i="1"/>
  <c r="W180" i="1"/>
  <c r="U181" i="1"/>
  <c r="V181" i="1"/>
  <c r="W181" i="1"/>
  <c r="U182" i="1"/>
  <c r="V182" i="1"/>
  <c r="W182" i="1"/>
  <c r="U183" i="1"/>
  <c r="V183" i="1"/>
  <c r="W183" i="1"/>
  <c r="U184" i="1"/>
  <c r="V184" i="1"/>
  <c r="W184" i="1"/>
  <c r="U185" i="1"/>
  <c r="V185" i="1"/>
  <c r="W185" i="1"/>
  <c r="U186" i="1"/>
  <c r="V186" i="1"/>
  <c r="W186" i="1"/>
  <c r="U187" i="1"/>
  <c r="V187" i="1"/>
  <c r="W187" i="1"/>
  <c r="U188" i="1"/>
  <c r="V188" i="1"/>
  <c r="W188" i="1"/>
  <c r="U189" i="1"/>
  <c r="V189" i="1"/>
  <c r="W189" i="1"/>
  <c r="U190" i="1"/>
  <c r="V190" i="1"/>
  <c r="W190" i="1"/>
  <c r="U191" i="1"/>
  <c r="V191" i="1"/>
  <c r="W191" i="1"/>
  <c r="U192" i="1"/>
  <c r="V192" i="1"/>
  <c r="W192" i="1"/>
  <c r="U193" i="1"/>
  <c r="V193" i="1"/>
  <c r="W193" i="1"/>
  <c r="U194" i="1"/>
  <c r="V194" i="1"/>
  <c r="W194" i="1"/>
  <c r="U195" i="1"/>
  <c r="V195" i="1"/>
  <c r="W195" i="1"/>
  <c r="U196" i="1"/>
  <c r="V196" i="1"/>
  <c r="W196" i="1"/>
  <c r="U197" i="1"/>
  <c r="V197" i="1"/>
  <c r="W197" i="1"/>
  <c r="U198" i="1"/>
  <c r="V198" i="1"/>
  <c r="W198" i="1"/>
  <c r="U199" i="1"/>
  <c r="V199" i="1"/>
  <c r="W199" i="1"/>
  <c r="U200" i="1"/>
  <c r="V200" i="1"/>
  <c r="W200" i="1"/>
  <c r="U202" i="1"/>
  <c r="V202" i="1"/>
  <c r="W202" i="1"/>
  <c r="U203" i="1"/>
  <c r="V203" i="1"/>
  <c r="W203" i="1"/>
  <c r="U204" i="1"/>
  <c r="V204" i="1"/>
  <c r="W204" i="1"/>
  <c r="U205" i="1"/>
  <c r="V205" i="1"/>
  <c r="W205" i="1"/>
  <c r="U206" i="1"/>
  <c r="V206" i="1"/>
  <c r="W206" i="1"/>
  <c r="U207" i="1"/>
  <c r="V207" i="1"/>
  <c r="W207" i="1"/>
  <c r="U208" i="1"/>
  <c r="V208" i="1"/>
  <c r="W208" i="1"/>
  <c r="U209" i="1"/>
  <c r="V209" i="1"/>
  <c r="W209" i="1"/>
  <c r="U210" i="1"/>
  <c r="V210" i="1"/>
  <c r="W210" i="1"/>
  <c r="U211" i="1"/>
  <c r="V211" i="1"/>
  <c r="W211" i="1"/>
  <c r="U212" i="1"/>
  <c r="V212" i="1"/>
  <c r="W212" i="1"/>
  <c r="U213" i="1"/>
  <c r="V213" i="1"/>
  <c r="W213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M150" i="1"/>
  <c r="N150" i="1"/>
  <c r="O150" i="1"/>
  <c r="M151" i="1"/>
  <c r="N151" i="1"/>
  <c r="O151" i="1"/>
  <c r="M152" i="1"/>
  <c r="N152" i="1"/>
  <c r="O152" i="1"/>
  <c r="M153" i="1"/>
  <c r="N153" i="1"/>
  <c r="O153" i="1"/>
  <c r="M154" i="1"/>
  <c r="N154" i="1"/>
  <c r="O154" i="1"/>
  <c r="M155" i="1"/>
  <c r="N155" i="1"/>
  <c r="O155" i="1"/>
  <c r="M156" i="1"/>
  <c r="N156" i="1"/>
  <c r="O156" i="1"/>
  <c r="M157" i="1"/>
  <c r="N157" i="1"/>
  <c r="O157" i="1"/>
  <c r="M158" i="1"/>
  <c r="N158" i="1"/>
  <c r="O158" i="1"/>
  <c r="M159" i="1"/>
  <c r="N159" i="1"/>
  <c r="O159" i="1"/>
  <c r="M160" i="1"/>
  <c r="N160" i="1"/>
  <c r="O160" i="1"/>
  <c r="M161" i="1"/>
  <c r="N161" i="1"/>
  <c r="O161" i="1"/>
  <c r="M162" i="1"/>
  <c r="N162" i="1"/>
  <c r="O162" i="1"/>
  <c r="M163" i="1"/>
  <c r="N163" i="1"/>
  <c r="O163" i="1"/>
  <c r="M164" i="1"/>
  <c r="N164" i="1"/>
  <c r="O164" i="1"/>
  <c r="M165" i="1"/>
  <c r="N165" i="1"/>
  <c r="O165" i="1"/>
  <c r="M166" i="1"/>
  <c r="N166" i="1"/>
  <c r="O166" i="1"/>
  <c r="M167" i="1"/>
  <c r="N167" i="1"/>
  <c r="O167" i="1"/>
  <c r="M168" i="1"/>
  <c r="N168" i="1"/>
  <c r="O168" i="1"/>
  <c r="M169" i="1"/>
  <c r="N169" i="1"/>
  <c r="O169" i="1"/>
  <c r="M170" i="1"/>
  <c r="N170" i="1"/>
  <c r="O170" i="1"/>
  <c r="M171" i="1"/>
  <c r="N171" i="1"/>
  <c r="O171" i="1"/>
  <c r="M172" i="1"/>
  <c r="N172" i="1"/>
  <c r="O172" i="1"/>
  <c r="M173" i="1"/>
  <c r="N173" i="1"/>
  <c r="O173" i="1"/>
  <c r="M174" i="1"/>
  <c r="N174" i="1"/>
  <c r="O174" i="1"/>
  <c r="M175" i="1"/>
  <c r="N175" i="1"/>
  <c r="O175" i="1"/>
  <c r="M176" i="1"/>
  <c r="N176" i="1"/>
  <c r="O176" i="1"/>
  <c r="M177" i="1"/>
  <c r="N177" i="1"/>
  <c r="O177" i="1"/>
  <c r="M178" i="1"/>
  <c r="N178" i="1"/>
  <c r="O178" i="1"/>
  <c r="M179" i="1"/>
  <c r="N179" i="1"/>
  <c r="O179" i="1"/>
  <c r="M180" i="1"/>
  <c r="N180" i="1"/>
  <c r="O180" i="1"/>
  <c r="M181" i="1"/>
  <c r="N181" i="1"/>
  <c r="O181" i="1"/>
  <c r="M182" i="1"/>
  <c r="N182" i="1"/>
  <c r="O182" i="1"/>
  <c r="M183" i="1"/>
  <c r="N183" i="1"/>
  <c r="O183" i="1"/>
  <c r="M184" i="1"/>
  <c r="N184" i="1"/>
  <c r="O184" i="1"/>
  <c r="M185" i="1"/>
  <c r="N185" i="1"/>
  <c r="O185" i="1"/>
  <c r="M186" i="1"/>
  <c r="N186" i="1"/>
  <c r="O186" i="1"/>
  <c r="M187" i="1"/>
  <c r="N187" i="1"/>
  <c r="O187" i="1"/>
  <c r="M188" i="1"/>
  <c r="N188" i="1"/>
  <c r="O188" i="1"/>
  <c r="M189" i="1"/>
  <c r="N189" i="1"/>
  <c r="O189" i="1"/>
  <c r="M190" i="1"/>
  <c r="N190" i="1"/>
  <c r="O190" i="1"/>
  <c r="M191" i="1"/>
  <c r="N191" i="1"/>
  <c r="O191" i="1"/>
  <c r="M192" i="1"/>
  <c r="N192" i="1"/>
  <c r="O192" i="1"/>
  <c r="M193" i="1"/>
  <c r="N193" i="1"/>
  <c r="O193" i="1"/>
  <c r="M194" i="1"/>
  <c r="N194" i="1"/>
  <c r="O194" i="1"/>
  <c r="M195" i="1"/>
  <c r="N195" i="1"/>
  <c r="O195" i="1"/>
  <c r="M196" i="1"/>
  <c r="N196" i="1"/>
  <c r="O196" i="1"/>
  <c r="M197" i="1"/>
  <c r="N197" i="1"/>
  <c r="O197" i="1"/>
  <c r="M198" i="1"/>
  <c r="N198" i="1"/>
  <c r="O198" i="1"/>
  <c r="M199" i="1"/>
  <c r="N199" i="1"/>
  <c r="O199" i="1"/>
  <c r="M200" i="1"/>
  <c r="N200" i="1"/>
  <c r="O200" i="1"/>
  <c r="M202" i="1"/>
  <c r="N202" i="1"/>
  <c r="O202" i="1"/>
  <c r="M203" i="1"/>
  <c r="N203" i="1"/>
  <c r="O203" i="1"/>
  <c r="M204" i="1"/>
  <c r="N204" i="1"/>
  <c r="O204" i="1"/>
  <c r="M205" i="1"/>
  <c r="N205" i="1"/>
  <c r="O205" i="1"/>
  <c r="M206" i="1"/>
  <c r="N206" i="1"/>
  <c r="O206" i="1"/>
  <c r="M207" i="1"/>
  <c r="N207" i="1"/>
  <c r="O207" i="1"/>
  <c r="M208" i="1"/>
  <c r="N208" i="1"/>
  <c r="O208" i="1"/>
  <c r="M209" i="1"/>
  <c r="N209" i="1"/>
  <c r="O209" i="1"/>
  <c r="M210" i="1"/>
  <c r="N210" i="1"/>
  <c r="O210" i="1"/>
  <c r="M211" i="1"/>
  <c r="N211" i="1"/>
  <c r="O211" i="1"/>
  <c r="M212" i="1"/>
  <c r="N212" i="1"/>
  <c r="O212" i="1"/>
  <c r="M213" i="1"/>
  <c r="N213" i="1"/>
  <c r="O213" i="1"/>
  <c r="AM5" i="1"/>
  <c r="AL5" i="1"/>
  <c r="AK5" i="1"/>
  <c r="AE5" i="1"/>
  <c r="AD5" i="1"/>
  <c r="AC5" i="1"/>
  <c r="W5" i="1"/>
  <c r="V5" i="1"/>
  <c r="U5" i="1"/>
  <c r="O5" i="1"/>
  <c r="N5" i="1"/>
  <c r="M5" i="1"/>
  <c r="E5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F213" i="1"/>
  <c r="G213" i="1"/>
  <c r="E6" i="1"/>
  <c r="F6" i="1"/>
  <c r="G6" i="1"/>
  <c r="F5" i="1"/>
  <c r="G5" i="1"/>
  <c r="T12" i="2" l="1"/>
  <c r="U13" i="2"/>
  <c r="U12" i="2"/>
  <c r="V11" i="2"/>
  <c r="V12" i="2"/>
  <c r="S11" i="2"/>
  <c r="U11" i="2"/>
  <c r="S13" i="2"/>
  <c r="T13" i="2"/>
  <c r="S12" i="2"/>
  <c r="V13" i="2"/>
  <c r="T11" i="2"/>
  <c r="I4" i="2"/>
  <c r="H11" i="2"/>
  <c r="H12" i="2"/>
  <c r="G13" i="2"/>
  <c r="I18" i="2"/>
  <c r="I19" i="2"/>
  <c r="I20" i="2"/>
  <c r="O4" i="2"/>
  <c r="O5" i="2"/>
  <c r="I6" i="2"/>
  <c r="I5" i="2"/>
  <c r="O6" i="2"/>
  <c r="M11" i="2"/>
  <c r="M4" i="2"/>
  <c r="L12" i="2"/>
  <c r="L13" i="2"/>
  <c r="M13" i="2"/>
  <c r="L4" i="2"/>
  <c r="M12" i="2"/>
  <c r="H13" i="2"/>
  <c r="I11" i="2"/>
  <c r="N4" i="2"/>
  <c r="N11" i="2"/>
  <c r="I12" i="2"/>
  <c r="N12" i="2"/>
  <c r="I13" i="2"/>
  <c r="L5" i="2"/>
  <c r="N13" i="2"/>
  <c r="F19" i="2"/>
  <c r="G4" i="2"/>
  <c r="L6" i="2"/>
  <c r="O11" i="2"/>
  <c r="F20" i="2"/>
  <c r="H4" i="2"/>
  <c r="M5" i="2"/>
  <c r="O12" i="2"/>
  <c r="F18" i="2"/>
  <c r="M6" i="2"/>
  <c r="O13" i="2"/>
  <c r="G18" i="2"/>
  <c r="F5" i="2"/>
  <c r="N5" i="2"/>
  <c r="F11" i="2"/>
  <c r="G19" i="2"/>
  <c r="G5" i="2"/>
  <c r="N6" i="2"/>
  <c r="F12" i="2"/>
  <c r="G20" i="2"/>
  <c r="H5" i="2"/>
  <c r="F13" i="2"/>
  <c r="H18" i="2"/>
  <c r="G11" i="2"/>
  <c r="H19" i="2"/>
  <c r="F6" i="2"/>
  <c r="L11" i="2"/>
  <c r="G12" i="2"/>
  <c r="H20" i="2"/>
  <c r="G6" i="2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<sst xmlns="http://schemas.openxmlformats.org/spreadsheetml/2006/main" count="262" uniqueCount="38">
  <si>
    <t>Face</t>
  </si>
  <si>
    <t>Eyes</t>
  </si>
  <si>
    <t>Mouth</t>
  </si>
  <si>
    <t>FaceIOU</t>
  </si>
  <si>
    <t>EyesIOU</t>
  </si>
  <si>
    <t>MouthIOU</t>
  </si>
  <si>
    <t>Thresholds</t>
  </si>
  <si>
    <t>IoU 25</t>
  </si>
  <si>
    <t>IoU 50</t>
  </si>
  <si>
    <t>IoU 75</t>
  </si>
  <si>
    <t>IoU 100</t>
  </si>
  <si>
    <t>Name</t>
  </si>
  <si>
    <t>Min</t>
  </si>
  <si>
    <t>Hands -- Top</t>
  </si>
  <si>
    <t>Session 1</t>
  </si>
  <si>
    <t>Session 2</t>
  </si>
  <si>
    <t>Session 3</t>
  </si>
  <si>
    <t>Hands -- Sides</t>
  </si>
  <si>
    <t>Raw Scores</t>
  </si>
  <si>
    <t>Categories</t>
  </si>
  <si>
    <t>Session 4</t>
  </si>
  <si>
    <t>Session 5</t>
  </si>
  <si>
    <t>Region Type</t>
  </si>
  <si>
    <t>VEW FROM SIDE 1</t>
  </si>
  <si>
    <t>VEW FROM SIDE 2</t>
  </si>
  <si>
    <t>VIEW FROM SIDE 1</t>
  </si>
  <si>
    <t>VIEW FROM SIDE 2</t>
  </si>
  <si>
    <t>Side 1</t>
  </si>
  <si>
    <t>Side 2</t>
  </si>
  <si>
    <t>Topside</t>
  </si>
  <si>
    <t>Side Score</t>
  </si>
  <si>
    <t>Side Ave</t>
  </si>
  <si>
    <t>session 1</t>
  </si>
  <si>
    <t>session 2</t>
  </si>
  <si>
    <t>session 3</t>
  </si>
  <si>
    <t>session 4</t>
  </si>
  <si>
    <t>session 5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</si>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</sst>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1"/>
      <color theme="9" tint="-0.249977111117893"/>
      <name val="Calibri"/>
      <family val="2"/>
    </font>
    <font>
      <sz val="11"/>
      <color theme="9" tint="-0.249977111117893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941C8B"/>
      <name val="Calibri"/>
      <family val="2"/>
    </font>
    <font>
      <sz val="11"/>
      <color rgb="FF941C8B"/>
      <name val="Calibri"/>
      <family val="2"/>
    </font>
    <font>
      <b/>
      <sz val="11"/>
      <color rgb="FFCC0099"/>
      <name val="Calibri"/>
      <family val="2"/>
    </font>
    <font>
      <sz val="11"/>
      <color rgb="FFCC0099"/>
      <name val="Calibri"/>
      <family val="2"/>
    </font>
    <font>
      <sz val="10"/>
      <color theme="0"/>
      <name val="Calibri"/>
      <family val="2"/>
    </font>
    <font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5" fillId="0" borderId="0" xfId="0" applyFont="1"/>
    <xf numFmtId="0" fontId="7" fillId="0" borderId="0" xfId="0" applyFont="1"/>
    <xf numFmtId="0" fontId="8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14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941C8B"/>
      <color rgb="FFCC0099"/>
      <color rgb="FFB868C0"/>
      <color rgb="FFF89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554-EEC7-4658-8062-AD56D0501C8E}">
  <dimension ref="A1:AC8"/>
  <sheetViews>
    <sheetView tabSelected="1" workbookViewId="0">
      <selection activeCell="I3" sqref="I3"/>
    </sheetView>
  </sheetViews>
  <sheetFormatPr defaultRowHeight="15" x14ac:dyDescent="0.25"/>
  <cols>
    <col min="1" max="1" width="13.5703125" bestFit="1" customWidth="1"/>
    <col min="2" max="5" width="8.42578125" bestFit="1" customWidth="1"/>
    <col min="7" max="7" width="13.5703125" bestFit="1" customWidth="1"/>
    <col min="8" max="9" width="6.5703125" bestFit="1" customWidth="1"/>
    <col min="10" max="10" width="8.42578125" bestFit="1" customWidth="1"/>
    <col min="11" max="11" width="7.5703125" bestFit="1" customWidth="1"/>
    <col min="13" max="13" width="13.5703125" bestFit="1" customWidth="1"/>
    <col min="14" max="16" width="6.5703125" bestFit="1" customWidth="1"/>
    <col min="17" max="17" width="7.5703125" bestFit="1" customWidth="1"/>
    <col min="19" max="19" width="13.5703125" bestFit="1" customWidth="1"/>
    <col min="20" max="22" width="6.5703125" bestFit="1" customWidth="1"/>
    <col min="23" max="23" width="7.5703125" bestFit="1" customWidth="1"/>
    <col min="25" max="25" width="13.5703125" bestFit="1" customWidth="1"/>
    <col min="26" max="28" width="6.5703125" bestFit="1" customWidth="1"/>
    <col min="29" max="29" width="7.5703125" bestFit="1" customWidth="1"/>
  </cols>
  <sheetData>
    <row r="1" spans="1:29" ht="15.75" thickBot="1" x14ac:dyDescent="0.3">
      <c r="A1" s="42" t="s">
        <v>14</v>
      </c>
      <c r="B1" s="43"/>
      <c r="C1" s="43"/>
      <c r="D1" s="43"/>
      <c r="E1" s="44"/>
      <c r="F1" s="1"/>
      <c r="G1" s="42" t="s">
        <v>15</v>
      </c>
      <c r="H1" s="43"/>
      <c r="I1" s="43"/>
      <c r="J1" s="43"/>
      <c r="K1" s="44"/>
      <c r="M1" s="42" t="s">
        <v>16</v>
      </c>
      <c r="N1" s="43"/>
      <c r="O1" s="43"/>
      <c r="P1" s="43"/>
      <c r="Q1" s="44"/>
      <c r="S1" s="42" t="s">
        <v>20</v>
      </c>
      <c r="T1" s="43"/>
      <c r="U1" s="43"/>
      <c r="V1" s="43"/>
      <c r="W1" s="44"/>
      <c r="Y1" s="42" t="s">
        <v>21</v>
      </c>
      <c r="Z1" s="43"/>
      <c r="AA1" s="43"/>
      <c r="AB1" s="43"/>
      <c r="AC1" s="44"/>
    </row>
    <row r="2" spans="1:29" ht="15.75" thickBot="1" x14ac:dyDescent="0.3">
      <c r="A2" s="18" t="s">
        <v>22</v>
      </c>
      <c r="B2" s="19" t="s">
        <v>7</v>
      </c>
      <c r="C2" s="19" t="s">
        <v>8</v>
      </c>
      <c r="D2" s="19" t="s">
        <v>9</v>
      </c>
      <c r="E2" s="20" t="s">
        <v>10</v>
      </c>
      <c r="F2" s="1"/>
      <c r="G2" s="18" t="s">
        <v>22</v>
      </c>
      <c r="H2" s="19" t="s">
        <v>7</v>
      </c>
      <c r="I2" s="19" t="s">
        <v>8</v>
      </c>
      <c r="J2" s="19" t="s">
        <v>9</v>
      </c>
      <c r="K2" s="20" t="s">
        <v>10</v>
      </c>
      <c r="M2" s="18" t="s">
        <v>22</v>
      </c>
      <c r="N2" s="19" t="s">
        <v>7</v>
      </c>
      <c r="O2" s="19" t="s">
        <v>8</v>
      </c>
      <c r="P2" s="19" t="s">
        <v>9</v>
      </c>
      <c r="Q2" s="20" t="s">
        <v>10</v>
      </c>
      <c r="S2" s="18" t="s">
        <v>22</v>
      </c>
      <c r="T2" s="19" t="s">
        <v>7</v>
      </c>
      <c r="U2" s="19" t="s">
        <v>8</v>
      </c>
      <c r="V2" s="19" t="s">
        <v>9</v>
      </c>
      <c r="W2" s="20" t="s">
        <v>10</v>
      </c>
      <c r="Y2" s="18" t="s">
        <v>22</v>
      </c>
      <c r="Z2" s="19" t="s">
        <v>7</v>
      </c>
      <c r="AA2" s="19" t="s">
        <v>8</v>
      </c>
      <c r="AB2" s="19" t="s">
        <v>9</v>
      </c>
      <c r="AC2" s="20" t="s">
        <v>10</v>
      </c>
    </row>
    <row r="3" spans="1:29" x14ac:dyDescent="0.25">
      <c r="A3" s="13" t="s">
        <v>0</v>
      </c>
      <c r="B3" s="39" t="e">
        <f>SUM('Reference Values'!F4,'Reference Values'!S4)</f>
        <v>#NAME?</v>
      </c>
      <c r="C3" s="39" t="e">
        <f>SUM('Reference Values'!G4,'Reference Values'!T4)</f>
        <v>#NAME?</v>
      </c>
      <c r="D3" s="39" t="e">
        <f>SUM('Reference Values'!H4,'Reference Values'!U4)</f>
        <v>#NAME?</v>
      </c>
      <c r="E3" s="39" t="e">
        <f>SUM('Reference Values'!I4,'Reference Values'!V4)</f>
        <v>#NAME?</v>
      </c>
      <c r="F3" s="1"/>
      <c r="G3" s="38" t="s">
        <v>0</v>
      </c>
      <c r="H3" s="39">
        <f>SUM('Reference Values'!F11,'Reference Values'!S11)</f>
        <v>8</v>
      </c>
      <c r="I3" s="39">
        <f>SUM('Reference Values'!G11,'Reference Values'!T11)</f>
        <v>74</v>
      </c>
      <c r="J3" s="39">
        <f>SUM('Reference Values'!H11,'Reference Values'!U11)</f>
        <v>100</v>
      </c>
      <c r="K3" s="40">
        <f>SUM('Reference Values'!I11,'Reference Values'!V11)</f>
        <v>225</v>
      </c>
      <c r="M3" s="13" t="s">
        <v>0</v>
      </c>
      <c r="N3" s="39">
        <f>SUM('Reference Values'!F18,'Reference Values'!S18)</f>
        <v>37</v>
      </c>
      <c r="O3" s="39">
        <f>SUM('Reference Values'!G18,'Reference Values'!T18)</f>
        <v>159</v>
      </c>
      <c r="P3" s="39">
        <f>SUM('Reference Values'!H18,'Reference Values'!U18)</f>
        <v>48</v>
      </c>
      <c r="Q3" s="40">
        <f>SUM('Reference Values'!I18,'Reference Values'!V18)</f>
        <v>168</v>
      </c>
      <c r="S3" s="13" t="s">
        <v>0</v>
      </c>
      <c r="T3" s="39">
        <f>SUM('Reference Values'!L4,'Reference Values'!Y4)</f>
        <v>44</v>
      </c>
      <c r="U3" s="39">
        <f>SUM('Reference Values'!M4,'Reference Values'!Z4)</f>
        <v>134</v>
      </c>
      <c r="V3" s="39">
        <f>SUM('Reference Values'!N4,'Reference Values'!AA4)</f>
        <v>112</v>
      </c>
      <c r="W3" s="40">
        <f>SUM('Reference Values'!O4,'Reference Values'!AB4)</f>
        <v>95</v>
      </c>
      <c r="Y3" s="13" t="s">
        <v>0</v>
      </c>
      <c r="Z3" s="39">
        <f>SUM('Reference Values'!L11,'Reference Values'!Y11)</f>
        <v>12</v>
      </c>
      <c r="AA3" s="39">
        <f>SUM('Reference Values'!M11,'Reference Values'!Z11)</f>
        <v>150</v>
      </c>
      <c r="AB3" s="39">
        <f>SUM('Reference Values'!N11,'Reference Values'!AA11)</f>
        <v>22</v>
      </c>
      <c r="AC3" s="39">
        <f>SUM('Reference Values'!O11,'Reference Values'!AB11)</f>
        <v>230</v>
      </c>
    </row>
    <row r="4" spans="1:29" x14ac:dyDescent="0.25">
      <c r="A4" s="14" t="s">
        <v>1</v>
      </c>
      <c r="B4" s="24" t="e">
        <f>SUM('Reference Values'!F5,'Reference Values'!S5)</f>
        <v>#NAME?</v>
      </c>
      <c r="C4" s="24" t="e">
        <f>SUM('Reference Values'!G5,'Reference Values'!T5)</f>
        <v>#NAME?</v>
      </c>
      <c r="D4" s="24" t="e">
        <f>SUM('Reference Values'!H5,'Reference Values'!U5)</f>
        <v>#NAME?</v>
      </c>
      <c r="E4" s="25" t="e">
        <f>SUM('Reference Values'!I5,'Reference Values'!V5)</f>
        <v>#NAME?</v>
      </c>
      <c r="F4" s="1"/>
      <c r="G4" s="14" t="s">
        <v>1</v>
      </c>
      <c r="H4" s="24">
        <f>SUM('Reference Values'!F12,'Reference Values'!S12)</f>
        <v>31</v>
      </c>
      <c r="I4" s="24">
        <f>SUM('Reference Values'!G12,'Reference Values'!T12)</f>
        <v>224</v>
      </c>
      <c r="J4" s="24">
        <f>SUM('Reference Values'!H12,'Reference Values'!U12)</f>
        <v>130</v>
      </c>
      <c r="K4" s="25">
        <f>SUM('Reference Values'!I12,'Reference Values'!V12)</f>
        <v>22</v>
      </c>
      <c r="M4" s="14" t="s">
        <v>1</v>
      </c>
      <c r="N4" s="24">
        <f>SUM('Reference Values'!F19,'Reference Values'!S19)</f>
        <v>41</v>
      </c>
      <c r="O4" s="24">
        <f>SUM('Reference Values'!G19,'Reference Values'!T19)</f>
        <v>160</v>
      </c>
      <c r="P4" s="24">
        <f>SUM('Reference Values'!H19,'Reference Values'!U19)</f>
        <v>156</v>
      </c>
      <c r="Q4" s="25">
        <f>SUM('Reference Values'!I19,'Reference Values'!V19)</f>
        <v>55</v>
      </c>
      <c r="S4" s="14" t="s">
        <v>1</v>
      </c>
      <c r="T4" s="24">
        <f>SUM('Reference Values'!L5,'Reference Values'!Y5)</f>
        <v>78</v>
      </c>
      <c r="U4" s="24">
        <f>SUM('Reference Values'!M5,'Reference Values'!Z5)</f>
        <v>182</v>
      </c>
      <c r="V4" s="24">
        <f>SUM('Reference Values'!N5,'Reference Values'!AA5)</f>
        <v>99</v>
      </c>
      <c r="W4" s="25">
        <f>SUM('Reference Values'!O5,'Reference Values'!AB5)</f>
        <v>26</v>
      </c>
      <c r="Y4" s="14" t="s">
        <v>1</v>
      </c>
      <c r="Z4" s="24">
        <f>SUM('Reference Values'!L12,'Reference Values'!Y12)</f>
        <v>38</v>
      </c>
      <c r="AA4" s="24">
        <f>SUM('Reference Values'!M12,'Reference Values'!Z12)</f>
        <v>221</v>
      </c>
      <c r="AB4" s="24">
        <f>SUM('Reference Values'!N12,'Reference Values'!AA12)</f>
        <v>134</v>
      </c>
      <c r="AC4" s="25">
        <f>SUM('Reference Values'!O12,'Reference Values'!AB12)</f>
        <v>21</v>
      </c>
    </row>
    <row r="5" spans="1:29" x14ac:dyDescent="0.25">
      <c r="A5" s="15" t="s">
        <v>2</v>
      </c>
      <c r="B5" s="26" t="e">
        <f>SUM('Reference Values'!F6,'Reference Values'!S6)</f>
        <v>#NAME?</v>
      </c>
      <c r="C5" s="26" t="e">
        <f>SUM('Reference Values'!G6,'Reference Values'!T6)</f>
        <v>#NAME?</v>
      </c>
      <c r="D5" s="26" t="e">
        <f>SUM('Reference Values'!H6,'Reference Values'!U6)</f>
        <v>#NAME?</v>
      </c>
      <c r="E5" s="27" t="e">
        <f>SUM('Reference Values'!I6,'Reference Values'!V6)</f>
        <v>#NAME?</v>
      </c>
      <c r="F5" s="1"/>
      <c r="G5" s="15" t="s">
        <v>2</v>
      </c>
      <c r="H5" s="26">
        <f>SUM('Reference Values'!F13,'Reference Values'!S13)</f>
        <v>51</v>
      </c>
      <c r="I5" s="26">
        <f>SUM('Reference Values'!G13,'Reference Values'!T13)</f>
        <v>252</v>
      </c>
      <c r="J5" s="26">
        <f>SUM('Reference Values'!H13,'Reference Values'!U13)</f>
        <v>84</v>
      </c>
      <c r="K5" s="27">
        <f>SUM('Reference Values'!I13,'Reference Values'!V13)</f>
        <v>20</v>
      </c>
      <c r="M5" s="15" t="s">
        <v>2</v>
      </c>
      <c r="N5" s="26">
        <f>SUM('Reference Values'!F20,'Reference Values'!S20)</f>
        <v>64</v>
      </c>
      <c r="O5" s="26">
        <f>SUM('Reference Values'!G20,'Reference Values'!T20)</f>
        <v>196</v>
      </c>
      <c r="P5" s="26">
        <f>SUM('Reference Values'!H20,'Reference Values'!U20)</f>
        <v>134</v>
      </c>
      <c r="Q5" s="27">
        <f>SUM('Reference Values'!I20,'Reference Values'!V20)</f>
        <v>18</v>
      </c>
      <c r="S5" s="15" t="s">
        <v>2</v>
      </c>
      <c r="T5" s="26">
        <f>SUM('Reference Values'!L6,'Reference Values'!Y6)</f>
        <v>113</v>
      </c>
      <c r="U5" s="26">
        <f>SUM('Reference Values'!M6,'Reference Values'!Z6)</f>
        <v>231</v>
      </c>
      <c r="V5" s="26">
        <f>SUM('Reference Values'!N6,'Reference Values'!AA6)</f>
        <v>37</v>
      </c>
      <c r="W5" s="27">
        <f>SUM('Reference Values'!O6,'Reference Values'!AB6)</f>
        <v>4</v>
      </c>
      <c r="Y5" s="15" t="s">
        <v>2</v>
      </c>
      <c r="Z5" s="26">
        <f>SUM('Reference Values'!L13,'Reference Values'!Y13)</f>
        <v>116</v>
      </c>
      <c r="AA5" s="26">
        <f>SUM('Reference Values'!M13,'Reference Values'!Z13)</f>
        <v>228</v>
      </c>
      <c r="AB5" s="26">
        <f>SUM('Reference Values'!N13,'Reference Values'!AA13)</f>
        <v>69</v>
      </c>
      <c r="AC5" s="27">
        <f>SUM('Reference Values'!O13,'Reference Values'!AB13)</f>
        <v>1</v>
      </c>
    </row>
    <row r="6" spans="1:29" x14ac:dyDescent="0.25">
      <c r="A6" s="16" t="s">
        <v>17</v>
      </c>
      <c r="B6" s="41" t="e" cm="1">
        <f t="array" ref="B6">COUNTIF(handScores1_sides,"IoU 25")</f>
        <v>#NAME?</v>
      </c>
      <c r="C6" s="28" t="e" cm="1">
        <f t="array" ref="C6">COUNTIF(handScores1_sides,"IoU 50")</f>
        <v>#NAME?</v>
      </c>
      <c r="D6" s="28" t="e" cm="1">
        <f t="array" ref="D6">COUNTIF(handScores1_sides,"IoU 75")</f>
        <v>#NAME?</v>
      </c>
      <c r="E6" s="29" t="e" cm="1">
        <f t="array" ref="E6">COUNTIF(handScores1_sides,"IoU 100")</f>
        <v>#NAME?</v>
      </c>
      <c r="F6" s="1"/>
      <c r="G6" s="16" t="s">
        <v>17</v>
      </c>
      <c r="H6" s="41">
        <f>COUNTIF(handScores2_sides,"IoU 25")</f>
        <v>71</v>
      </c>
      <c r="I6" s="28">
        <f>COUNTIF(handScores2_sides,"IoU 50")</f>
        <v>106</v>
      </c>
      <c r="J6" s="28">
        <f>COUNTIF(handScores2_sides,"IoU 75")</f>
        <v>27</v>
      </c>
      <c r="K6" s="29">
        <f>COUNTIF(handScores2_sides,"IoU 100")</f>
        <v>2</v>
      </c>
      <c r="M6" s="16" t="s">
        <v>17</v>
      </c>
      <c r="N6" s="41">
        <f>COUNTIF(handScores3_sides,"IoU 25")</f>
        <v>22</v>
      </c>
      <c r="O6" s="28">
        <f>COUNTIF(handScores3_sides,"IoU 50")</f>
        <v>127</v>
      </c>
      <c r="P6" s="28">
        <f>COUNTIF(handScores3_sides,"IoU 75")</f>
        <v>59</v>
      </c>
      <c r="Q6" s="29">
        <f>COUNTIF(handScores3_sides,"IoU 100")</f>
        <v>2</v>
      </c>
      <c r="S6" s="16" t="s">
        <v>17</v>
      </c>
      <c r="T6" s="41">
        <f>COUNTIF(handScores4_sides,"IoU 25")</f>
        <v>45</v>
      </c>
      <c r="U6" s="28">
        <f>COUNTIF(handScores4_sides,"IoU 50")</f>
        <v>109</v>
      </c>
      <c r="V6" s="28">
        <f>COUNTIF(handScores4_sides,"IoU 75")</f>
        <v>38</v>
      </c>
      <c r="W6" s="29">
        <f>COUNTIF(handScores4_sides,"IoU 100")</f>
        <v>6</v>
      </c>
      <c r="Y6" s="16" t="s">
        <v>17</v>
      </c>
      <c r="Z6" s="41">
        <f>COUNTIF(handScores5_sides,"IoU 25")</f>
        <v>83</v>
      </c>
      <c r="AA6" s="28">
        <f>COUNTIF(handScores5_sides,"IoU 50")</f>
        <v>108</v>
      </c>
      <c r="AB6" s="28">
        <f>COUNTIF(handScores5_sides,"IoU 75")</f>
        <v>19</v>
      </c>
      <c r="AC6" s="29">
        <f>COUNTIF(handScores5_sides,"IoU 100")</f>
        <v>0</v>
      </c>
    </row>
    <row r="7" spans="1:29" ht="15.75" thickBot="1" x14ac:dyDescent="0.3">
      <c r="A7" s="17" t="s">
        <v>13</v>
      </c>
      <c r="B7" s="30" t="e" cm="1">
        <f t="array" ref="B7">COUNTIF(handScores1_top,"IoU 25")</f>
        <v>#NAME?</v>
      </c>
      <c r="C7" s="30" t="e" cm="1">
        <f t="array" ref="C7">COUNTIF(handScores1_top,"IoU 50")</f>
        <v>#NAME?</v>
      </c>
      <c r="D7" s="30" t="e" cm="1">
        <f t="array" ref="D7">COUNTIF(handScores1_top,"IoU 75")</f>
        <v>#NAME?</v>
      </c>
      <c r="E7" s="31" t="e" cm="1">
        <f t="array" ref="E7">COUNTIF(handScores1_top,"IoU 100")</f>
        <v>#NAME?</v>
      </c>
      <c r="F7" s="1"/>
      <c r="G7" s="17" t="s">
        <v>13</v>
      </c>
      <c r="H7" s="30">
        <f>COUNTIF(handScores2_top,"IoU 25")</f>
        <v>36</v>
      </c>
      <c r="I7" s="30">
        <f>COUNTIF(handScores2_top,"IoU 50")</f>
        <v>141</v>
      </c>
      <c r="J7" s="30">
        <f>COUNTIF(handScores2_top,"IoU 75")</f>
        <v>23</v>
      </c>
      <c r="K7" s="31">
        <f>COUNTIF(handScores2_top,"IoU 100")</f>
        <v>0</v>
      </c>
      <c r="M7" s="17" t="s">
        <v>13</v>
      </c>
      <c r="N7" s="30">
        <f>COUNTIF(handScores3_top,"IoU 25")</f>
        <v>12</v>
      </c>
      <c r="O7" s="30">
        <f>COUNTIF(handScores3_top,"IoU 50")</f>
        <v>136</v>
      </c>
      <c r="P7" s="30">
        <f>COUNTIF(handScores3_top,"IoU 75")</f>
        <v>58</v>
      </c>
      <c r="Q7" s="31">
        <f>COUNTIF(handScores3_top,"IoU 100")</f>
        <v>0</v>
      </c>
      <c r="S7" s="17" t="s">
        <v>13</v>
      </c>
      <c r="T7" s="30">
        <f>COUNTIF(handScores4_top,"IoU 25")</f>
        <v>24</v>
      </c>
      <c r="U7" s="30">
        <f>COUNTIF(handScores4_top,"IoU 50")</f>
        <v>126</v>
      </c>
      <c r="V7" s="30">
        <f>COUNTIF(handScores4_top,"IoU 75")</f>
        <v>46</v>
      </c>
      <c r="W7" s="31">
        <f>COUNTIF(handScores4_top,"IoU 100")</f>
        <v>0</v>
      </c>
      <c r="Y7" s="17" t="s">
        <v>13</v>
      </c>
      <c r="Z7" s="30">
        <f>COUNTIF(handScores5_top,"IoU 25")</f>
        <v>55</v>
      </c>
      <c r="AA7" s="30">
        <f>COUNTIF(handScores5_top,"IoU 50")</f>
        <v>145</v>
      </c>
      <c r="AB7" s="30">
        <f>COUNTIF(handScores5_top,"IoU 75")</f>
        <v>10</v>
      </c>
      <c r="AC7" s="31">
        <f>COUNTIF(handScores5_top,"IoU 100")</f>
        <v>0</v>
      </c>
    </row>
    <row r="8" spans="1:29" x14ac:dyDescent="0.25">
      <c r="A8" s="21"/>
      <c r="B8" s="32"/>
      <c r="C8" s="32"/>
      <c r="D8" s="32"/>
      <c r="E8" s="32"/>
      <c r="F8" s="1"/>
      <c r="G8" s="21"/>
      <c r="H8" s="32"/>
      <c r="I8" s="32"/>
      <c r="J8" s="32"/>
      <c r="K8" s="32"/>
    </row>
  </sheetData>
  <mergeCells count="5">
    <mergeCell ref="S1:W1"/>
    <mergeCell ref="Y1:AC1"/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AD2C-CE12-4076-A4C0-04888EE7C5CF}">
  <dimension ref="A1:AB21"/>
  <sheetViews>
    <sheetView workbookViewId="0">
      <selection activeCell="F28" sqref="F28"/>
    </sheetView>
  </sheetViews>
  <sheetFormatPr defaultRowHeight="15" x14ac:dyDescent="0.25"/>
  <cols>
    <col min="1" max="1" width="9" bestFit="1" customWidth="1"/>
    <col min="2" max="2" width="13.5703125" bestFit="1" customWidth="1"/>
    <col min="3" max="4" width="12" bestFit="1" customWidth="1"/>
    <col min="5" max="5" width="13.5703125" style="1" bestFit="1" customWidth="1"/>
    <col min="6" max="6" width="12" style="1" bestFit="1" customWidth="1"/>
    <col min="7" max="8" width="6.5703125" style="1" bestFit="1" customWidth="1"/>
    <col min="9" max="9" width="7.5703125" style="1" bestFit="1" customWidth="1"/>
    <col min="10" max="10" width="9.140625" style="1"/>
    <col min="11" max="11" width="13.5703125" style="1" bestFit="1" customWidth="1"/>
    <col min="12" max="14" width="6.5703125" style="1" bestFit="1" customWidth="1"/>
    <col min="15" max="15" width="7.5703125" style="1" bestFit="1" customWidth="1"/>
    <col min="16" max="16" width="7.5703125" customWidth="1"/>
    <col min="18" max="18" width="13.5703125" bestFit="1" customWidth="1"/>
    <col min="19" max="22" width="8.42578125" bestFit="1" customWidth="1"/>
    <col min="24" max="24" width="13.5703125" bestFit="1" customWidth="1"/>
    <col min="25" max="27" width="6.5703125" bestFit="1" customWidth="1"/>
    <col min="28" max="28" width="7.5703125" bestFit="1" customWidth="1"/>
  </cols>
  <sheetData>
    <row r="1" spans="1:28" ht="21.75" thickBot="1" x14ac:dyDescent="0.4">
      <c r="E1" s="45" t="s">
        <v>25</v>
      </c>
      <c r="F1" s="45"/>
      <c r="G1" s="45"/>
      <c r="H1" s="45"/>
      <c r="I1" s="45"/>
      <c r="J1" s="45"/>
      <c r="K1" s="45"/>
      <c r="L1" s="45"/>
      <c r="M1" s="45"/>
      <c r="N1" s="45"/>
      <c r="O1" s="45"/>
      <c r="R1" s="45" t="s">
        <v>26</v>
      </c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5.75" thickBot="1" x14ac:dyDescent="0.3">
      <c r="A2" s="42" t="s">
        <v>6</v>
      </c>
      <c r="B2" s="44"/>
      <c r="C2" s="33"/>
      <c r="D2" s="10"/>
      <c r="E2" s="42" t="s">
        <v>14</v>
      </c>
      <c r="F2" s="43"/>
      <c r="G2" s="43"/>
      <c r="H2" s="43"/>
      <c r="I2" s="44"/>
      <c r="K2" s="42" t="s">
        <v>20</v>
      </c>
      <c r="L2" s="43"/>
      <c r="M2" s="43"/>
      <c r="N2" s="43"/>
      <c r="O2" s="44"/>
      <c r="R2" s="42" t="s">
        <v>14</v>
      </c>
      <c r="S2" s="43"/>
      <c r="T2" s="43"/>
      <c r="U2" s="43"/>
      <c r="V2" s="44"/>
      <c r="W2" s="1"/>
      <c r="X2" s="42" t="s">
        <v>20</v>
      </c>
      <c r="Y2" s="43"/>
      <c r="Z2" s="43"/>
      <c r="AA2" s="43"/>
      <c r="AB2" s="44"/>
    </row>
    <row r="3" spans="1:28" ht="15.75" thickBot="1" x14ac:dyDescent="0.3">
      <c r="A3" s="3" t="s">
        <v>12</v>
      </c>
      <c r="B3" s="5" t="s">
        <v>11</v>
      </c>
      <c r="C3" s="2"/>
      <c r="D3" s="4"/>
      <c r="E3" s="18" t="s">
        <v>22</v>
      </c>
      <c r="F3" s="19" t="s">
        <v>7</v>
      </c>
      <c r="G3" s="19" t="s">
        <v>8</v>
      </c>
      <c r="H3" s="19" t="s">
        <v>9</v>
      </c>
      <c r="I3" s="20" t="s">
        <v>10</v>
      </c>
      <c r="K3" s="18" t="s">
        <v>22</v>
      </c>
      <c r="L3" s="19" t="s">
        <v>7</v>
      </c>
      <c r="M3" s="19" t="s">
        <v>8</v>
      </c>
      <c r="N3" s="19" t="s">
        <v>9</v>
      </c>
      <c r="O3" s="20" t="s">
        <v>10</v>
      </c>
      <c r="R3" s="18" t="s">
        <v>22</v>
      </c>
      <c r="S3" s="19" t="s">
        <v>7</v>
      </c>
      <c r="T3" s="19" t="s">
        <v>8</v>
      </c>
      <c r="U3" s="19" t="s">
        <v>9</v>
      </c>
      <c r="V3" s="20" t="s">
        <v>10</v>
      </c>
      <c r="W3" s="1"/>
      <c r="X3" s="18" t="s">
        <v>22</v>
      </c>
      <c r="Y3" s="19" t="s">
        <v>7</v>
      </c>
      <c r="Z3" s="19" t="s">
        <v>8</v>
      </c>
      <c r="AA3" s="19" t="s">
        <v>9</v>
      </c>
      <c r="AB3" s="20" t="s">
        <v>10</v>
      </c>
    </row>
    <row r="4" spans="1:28" x14ac:dyDescent="0.25">
      <c r="A4" s="6">
        <v>0</v>
      </c>
      <c r="B4" s="7" t="s">
        <v>7</v>
      </c>
      <c r="C4" s="34"/>
      <c r="E4" s="13" t="s">
        <v>0</v>
      </c>
      <c r="F4" s="22" t="s">
        <v>37</v>
      </c>
      <c r="G4" s="22">
        <f>COUNTIF(scores1_face,"IoU 50")</f>
        <v>38</v>
      </c>
      <c r="H4" s="22">
        <f>COUNTIF(scores1_face,"IoU 75")</f>
        <v>38</v>
      </c>
      <c r="I4" s="23">
        <f>COUNTIF(scores1_face,"IoU 100")</f>
        <v>127</v>
      </c>
      <c r="K4" s="13" t="s">
        <v>0</v>
      </c>
      <c r="L4" s="22">
        <f>COUNTIF(scores4_face,"IoU 25")</f>
        <v>15</v>
      </c>
      <c r="M4" s="22">
        <f>COUNTIF(scores4_face,"IoU 50")</f>
        <v>38</v>
      </c>
      <c r="N4" s="22">
        <f>COUNTIF(scores4_face,"IoU 75")</f>
        <v>71</v>
      </c>
      <c r="O4" s="23">
        <f>COUNTIF(scores4_face,"IoU 100")</f>
        <v>65</v>
      </c>
      <c r="R4" s="13" t="s">
        <v>0</v>
      </c>
      <c r="S4" s="22" t="e" cm="1">
        <f t="array" ref="S4">COUNTIF(scores1_face2,"IoU 25")</f>
        <v>#NAME?</v>
      </c>
      <c r="T4" s="22" t="e" cm="1">
        <f t="array" ref="T4">COUNTIF(scores1_face2,"IoU 50")</f>
        <v>#NAME?</v>
      </c>
      <c r="U4" s="22" t="e" cm="1">
        <f t="array" ref="U4">COUNTIF(scores1_face2,"IoU 75")</f>
        <v>#NAME?</v>
      </c>
      <c r="V4" s="23" t="e" cm="1">
        <f t="array" ref="V4">COUNTIF(scores1_face2,"IoU 100")</f>
        <v>#NAME?</v>
      </c>
      <c r="W4" s="1"/>
      <c r="X4" s="13" t="s">
        <v>0</v>
      </c>
      <c r="Y4" s="22">
        <f>COUNTIF(scores4_face2,"IoU 25")</f>
        <v>29</v>
      </c>
      <c r="Z4" s="22">
        <f>COUNTIF(scores4_face2,"IoU 50")</f>
        <v>96</v>
      </c>
      <c r="AA4" s="22">
        <f>COUNTIF(scores4_face2,"IoU 75")</f>
        <v>41</v>
      </c>
      <c r="AB4" s="23">
        <f>COUNTIF(scores4_face2,"IoU 100")</f>
        <v>30</v>
      </c>
    </row>
    <row r="5" spans="1:28" x14ac:dyDescent="0.25">
      <c r="A5" s="6">
        <v>0.25</v>
      </c>
      <c r="B5" s="7" t="s">
        <v>8</v>
      </c>
      <c r="C5" s="34"/>
      <c r="E5" s="14" t="s">
        <v>1</v>
      </c>
      <c r="F5" s="24">
        <f>COUNTIF(scores1_eyes,"IoU 25")</f>
        <v>9</v>
      </c>
      <c r="G5" s="24">
        <f>COUNTIF(scores1_eyes,"IoU 50")</f>
        <v>71</v>
      </c>
      <c r="H5" s="24">
        <f>COUNTIF(scores1_eyes,"IoU 75")</f>
        <v>93</v>
      </c>
      <c r="I5" s="25">
        <f>COUNTIF(scores1_eyes,"IoU 100")</f>
        <v>33</v>
      </c>
      <c r="K5" s="14" t="s">
        <v>1</v>
      </c>
      <c r="L5" s="24">
        <f>COUNTIF(scores4_eyes,"IoU 25")</f>
        <v>24</v>
      </c>
      <c r="M5" s="24">
        <f>COUNTIF(scores4_eyes,"IoU 50")</f>
        <v>54</v>
      </c>
      <c r="N5" s="24">
        <f>COUNTIF(scores4_eyes,"IoU 75")</f>
        <v>86</v>
      </c>
      <c r="O5" s="25">
        <f>COUNTIF(scores4_eyes,"IoU 100")</f>
        <v>25</v>
      </c>
      <c r="R5" s="14" t="s">
        <v>1</v>
      </c>
      <c r="S5" s="24" t="e" cm="1">
        <f t="array" ref="S5">COUNTIF(scores1_eyes2,"IoU 25")</f>
        <v>#NAME?</v>
      </c>
      <c r="T5" s="24" t="e" cm="1">
        <f t="array" ref="T5">COUNTIF(scores1_eyes2,"IoU 50")</f>
        <v>#NAME?</v>
      </c>
      <c r="U5" s="24" t="e" cm="1">
        <f t="array" ref="U5">COUNTIF(scores1_eyes2,"IoU 75")</f>
        <v>#NAME?</v>
      </c>
      <c r="V5" s="25" t="e" cm="1">
        <f t="array" ref="V5">COUNTIF(scores1_eyes2,"IoU 100")</f>
        <v>#NAME?</v>
      </c>
      <c r="W5" s="1"/>
      <c r="X5" s="14" t="s">
        <v>1</v>
      </c>
      <c r="Y5" s="24">
        <f>COUNTIF(scores4_eyes2,"IoU 25")</f>
        <v>54</v>
      </c>
      <c r="Z5" s="24">
        <f>COUNTIF(scores4_eyes2,"IoU 50")</f>
        <v>128</v>
      </c>
      <c r="AA5" s="24">
        <f>COUNTIF(scores4_eyes2,"IoU 75")</f>
        <v>13</v>
      </c>
      <c r="AB5" s="25">
        <f>COUNTIF(scores4_eyes2,"IoU 100")</f>
        <v>1</v>
      </c>
    </row>
    <row r="6" spans="1:28" x14ac:dyDescent="0.25">
      <c r="A6" s="6">
        <v>0.5</v>
      </c>
      <c r="B6" s="7" t="s">
        <v>9</v>
      </c>
      <c r="C6" s="34"/>
      <c r="E6" s="15" t="s">
        <v>2</v>
      </c>
      <c r="F6" s="26">
        <f>COUNTIF(scores1_mouth,"IoU 25")</f>
        <v>14</v>
      </c>
      <c r="G6" s="26">
        <f>COUNTIF(scores1_mouth,"IoU 50")</f>
        <v>75</v>
      </c>
      <c r="H6" s="26">
        <f>COUNTIF(scores1_mouth,"IoU 75")</f>
        <v>103</v>
      </c>
      <c r="I6" s="27">
        <f>COUNTIF(scores1_mouth,"IoU 100")</f>
        <v>14</v>
      </c>
      <c r="K6" s="15" t="s">
        <v>2</v>
      </c>
      <c r="L6" s="26">
        <f>COUNTIF(scores4_mouth,"IoU 25")</f>
        <v>49</v>
      </c>
      <c r="M6" s="26">
        <f>COUNTIF(scores4_mouth,"IoU 50")</f>
        <v>106</v>
      </c>
      <c r="N6" s="26">
        <f>COUNTIF(scores4_mouth,"IoU 75")</f>
        <v>31</v>
      </c>
      <c r="O6" s="27">
        <f>COUNTIF(scores4_mouth,"IoU 100")</f>
        <v>3</v>
      </c>
      <c r="R6" s="15" t="s">
        <v>2</v>
      </c>
      <c r="S6" s="26" t="e" cm="1">
        <f t="array" ref="S6">COUNTIF(scores1_mouth2,"IoU 25")</f>
        <v>#NAME?</v>
      </c>
      <c r="T6" s="26" t="e" cm="1">
        <f t="array" ref="T6">COUNTIF(scores1_mouth2,"IoU 50")</f>
        <v>#NAME?</v>
      </c>
      <c r="U6" s="26" t="e" cm="1">
        <f t="array" ref="U6">COUNTIF(scores1_mouth2,"IoU 75")</f>
        <v>#NAME?</v>
      </c>
      <c r="V6" s="27" t="e" cm="1">
        <f t="array" ref="V6">COUNTIF(scores1_mouth2,"IoU 100")</f>
        <v>#NAME?</v>
      </c>
      <c r="W6" s="1"/>
      <c r="X6" s="15" t="s">
        <v>2</v>
      </c>
      <c r="Y6" s="26">
        <f>COUNTIF(scores4_mouth2,"IoU 25")</f>
        <v>64</v>
      </c>
      <c r="Z6" s="26">
        <f>COUNTIF(scores4_mouth2,"IoU 50")</f>
        <v>125</v>
      </c>
      <c r="AA6" s="26">
        <f>COUNTIF(scores4_mouth2,"IoU 75")</f>
        <v>6</v>
      </c>
      <c r="AB6" s="27">
        <f>COUNTIF(scores4_mouth2,"IoU 100")</f>
        <v>1</v>
      </c>
    </row>
    <row r="7" spans="1:28" ht="15.75" thickBot="1" x14ac:dyDescent="0.3">
      <c r="A7" s="8">
        <v>0.75</v>
      </c>
      <c r="B7" s="9" t="s">
        <v>10</v>
      </c>
      <c r="C7" s="34"/>
      <c r="E7" s="21"/>
      <c r="F7" s="32"/>
      <c r="G7" s="32"/>
      <c r="H7" s="32"/>
      <c r="I7" s="32"/>
      <c r="K7" s="21"/>
      <c r="L7" s="32"/>
      <c r="M7" s="32"/>
      <c r="N7" s="32"/>
      <c r="O7" s="32"/>
      <c r="R7" s="21"/>
      <c r="S7" s="32"/>
      <c r="T7" s="32"/>
      <c r="U7" s="32"/>
      <c r="V7" s="32"/>
      <c r="W7" s="1"/>
      <c r="X7" s="21"/>
      <c r="Y7" s="32"/>
      <c r="Z7" s="32"/>
      <c r="AA7" s="32"/>
      <c r="AB7" s="32"/>
    </row>
    <row r="8" spans="1:28" ht="15.75" thickBot="1" x14ac:dyDescent="0.3"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thickBot="1" x14ac:dyDescent="0.3">
      <c r="E9" s="42" t="s">
        <v>15</v>
      </c>
      <c r="F9" s="43"/>
      <c r="G9" s="43"/>
      <c r="H9" s="43"/>
      <c r="I9" s="44"/>
      <c r="K9" s="42" t="s">
        <v>21</v>
      </c>
      <c r="L9" s="43"/>
      <c r="M9" s="43"/>
      <c r="N9" s="43"/>
      <c r="O9" s="44"/>
      <c r="R9" s="42" t="s">
        <v>15</v>
      </c>
      <c r="S9" s="43"/>
      <c r="T9" s="43"/>
      <c r="U9" s="43"/>
      <c r="V9" s="44"/>
      <c r="W9" s="1"/>
      <c r="X9" s="42" t="s">
        <v>21</v>
      </c>
      <c r="Y9" s="43"/>
      <c r="Z9" s="43"/>
      <c r="AA9" s="43"/>
      <c r="AB9" s="44"/>
    </row>
    <row r="10" spans="1:28" ht="15.75" thickBot="1" x14ac:dyDescent="0.3">
      <c r="B10" s="36" t="s">
        <v>17</v>
      </c>
      <c r="C10" s="37" t="s">
        <v>13</v>
      </c>
      <c r="E10" s="18" t="s">
        <v>22</v>
      </c>
      <c r="F10" s="19" t="s">
        <v>7</v>
      </c>
      <c r="G10" s="19" t="s">
        <v>8</v>
      </c>
      <c r="H10" s="19" t="s">
        <v>9</v>
      </c>
      <c r="I10" s="20" t="s">
        <v>10</v>
      </c>
      <c r="K10" s="18" t="s">
        <v>22</v>
      </c>
      <c r="L10" s="19" t="s">
        <v>7</v>
      </c>
      <c r="M10" s="19" t="s">
        <v>8</v>
      </c>
      <c r="N10" s="19" t="s">
        <v>9</v>
      </c>
      <c r="O10" s="20" t="s">
        <v>10</v>
      </c>
      <c r="R10" s="18" t="s">
        <v>22</v>
      </c>
      <c r="S10" s="19" t="s">
        <v>7</v>
      </c>
      <c r="T10" s="19" t="s">
        <v>8</v>
      </c>
      <c r="U10" s="19" t="s">
        <v>9</v>
      </c>
      <c r="V10" s="20" t="s">
        <v>10</v>
      </c>
      <c r="W10" s="1"/>
      <c r="X10" s="18" t="s">
        <v>22</v>
      </c>
      <c r="Y10" s="19" t="s">
        <v>7</v>
      </c>
      <c r="Z10" s="19" t="s">
        <v>8</v>
      </c>
      <c r="AA10" s="19" t="s">
        <v>9</v>
      </c>
      <c r="AB10" s="20" t="s">
        <v>10</v>
      </c>
    </row>
    <row r="11" spans="1:28" x14ac:dyDescent="0.25">
      <c r="A11" s="12" t="s">
        <v>32</v>
      </c>
      <c r="E11" s="13" t="s">
        <v>0</v>
      </c>
      <c r="F11" s="22">
        <f>COUNTIF(scores2_face,"IoU 25")</f>
        <v>1</v>
      </c>
      <c r="G11" s="22">
        <f>COUNTIF(scores2_face,"IoU 50")</f>
        <v>30</v>
      </c>
      <c r="H11" s="22">
        <f>COUNTIF(scores2_face,"IoU 75")</f>
        <v>68</v>
      </c>
      <c r="I11" s="23">
        <f>COUNTIF(scores2_face,"IoU 100")</f>
        <v>108</v>
      </c>
      <c r="K11" s="13" t="s">
        <v>0</v>
      </c>
      <c r="L11" s="22">
        <f>COUNTIF(scores5_face,"IoU 25")</f>
        <v>1</v>
      </c>
      <c r="M11" s="22">
        <f>COUNTIF(scores5_face,"IoU 50")</f>
        <v>67</v>
      </c>
      <c r="N11" s="22">
        <f>COUNTIF(scores5_face,"IoU 75")</f>
        <v>9</v>
      </c>
      <c r="O11" s="23">
        <f>COUNTIF(scores5_face,"IoU 100")</f>
        <v>132</v>
      </c>
      <c r="R11" s="13" t="s">
        <v>0</v>
      </c>
      <c r="S11" s="22">
        <f>COUNTIF(scores2_face2,"IoU 25")</f>
        <v>7</v>
      </c>
      <c r="T11" s="22">
        <f>COUNTIF(scores2_face2,"IoU 50")</f>
        <v>44</v>
      </c>
      <c r="U11" s="22">
        <f>COUNTIF(scores2_face2,"IoU 75")</f>
        <v>32</v>
      </c>
      <c r="V11" s="23">
        <f>COUNTIF(scores2_face2,"IoU 100")</f>
        <v>117</v>
      </c>
      <c r="W11" s="1"/>
      <c r="X11" s="13" t="s">
        <v>0</v>
      </c>
      <c r="Y11" s="22">
        <f>COUNTIF(scores5_face2,"IoU 25")</f>
        <v>11</v>
      </c>
      <c r="Z11" s="22">
        <f>COUNTIF(scores5_face2,"IoU 50")</f>
        <v>83</v>
      </c>
      <c r="AA11" s="22">
        <f>COUNTIF(scores5_face2,"IoU 75")</f>
        <v>13</v>
      </c>
      <c r="AB11" s="23">
        <f>COUNTIF(scores5_face2,"IoU 100")</f>
        <v>98</v>
      </c>
    </row>
    <row r="12" spans="1:28" x14ac:dyDescent="0.25">
      <c r="A12" s="12" t="s">
        <v>33</v>
      </c>
      <c r="E12" s="14" t="s">
        <v>1</v>
      </c>
      <c r="F12" s="24">
        <f>COUNTIF(scores2_eyes,"IoU 25")</f>
        <v>3</v>
      </c>
      <c r="G12" s="24">
        <f>COUNTIF(scores2_eyes,"IoU 50")</f>
        <v>91</v>
      </c>
      <c r="H12" s="24">
        <f>COUNTIF(scores2_eyes,"IoU 75")</f>
        <v>92</v>
      </c>
      <c r="I12" s="25">
        <f>COUNTIF(scores2_eyes,"IoU 100")</f>
        <v>21</v>
      </c>
      <c r="K12" s="14" t="s">
        <v>1</v>
      </c>
      <c r="L12" s="24">
        <f>COUNTIF(scores5_eyes,"IoU 25")</f>
        <v>6</v>
      </c>
      <c r="M12" s="24">
        <f>COUNTIF(scores5_eyes,"IoU 50")</f>
        <v>90</v>
      </c>
      <c r="N12" s="24">
        <f>COUNTIF(scores5_eyes,"IoU 75")</f>
        <v>101</v>
      </c>
      <c r="O12" s="25">
        <f>COUNTIF(scores5_eyes,"IoU 100")</f>
        <v>12</v>
      </c>
      <c r="R12" s="14" t="s">
        <v>1</v>
      </c>
      <c r="S12" s="24">
        <f>COUNTIF(scores2_eyes2,"IoU 25")</f>
        <v>28</v>
      </c>
      <c r="T12" s="24">
        <f>COUNTIF(scores2_eyes2,"IoU 50")</f>
        <v>133</v>
      </c>
      <c r="U12" s="24">
        <f>COUNTIF(scores2_eyes2,"IoU 75")</f>
        <v>38</v>
      </c>
      <c r="V12" s="25">
        <f>COUNTIF(scores2_eyes2,"IoU 100")</f>
        <v>1</v>
      </c>
      <c r="W12" s="1"/>
      <c r="X12" s="14" t="s">
        <v>1</v>
      </c>
      <c r="Y12" s="24">
        <f>COUNTIF(scores5_eyes2,"IoU 25")</f>
        <v>32</v>
      </c>
      <c r="Z12" s="24">
        <f>COUNTIF(scores5_eyes2,"IoU 50")</f>
        <v>131</v>
      </c>
      <c r="AA12" s="24">
        <f>COUNTIF(scores5_eyes2,"IoU 75")</f>
        <v>33</v>
      </c>
      <c r="AB12" s="25">
        <f>COUNTIF(scores5_eyes2,"IoU 100")</f>
        <v>9</v>
      </c>
    </row>
    <row r="13" spans="1:28" x14ac:dyDescent="0.25">
      <c r="A13" s="12" t="s">
        <v>34</v>
      </c>
      <c r="E13" s="15" t="s">
        <v>2</v>
      </c>
      <c r="F13" s="26">
        <f>COUNTIF(scores2_mouth,"IoU 25")</f>
        <v>4</v>
      </c>
      <c r="G13" s="26">
        <f>COUNTIF(scores2_mouth,"IoU 50")</f>
        <v>118</v>
      </c>
      <c r="H13" s="26">
        <f>COUNTIF(scores2_mouth,"IoU 75")</f>
        <v>67</v>
      </c>
      <c r="I13" s="27">
        <f>COUNTIF(scores2_mouth,"IoU 100")</f>
        <v>18</v>
      </c>
      <c r="K13" s="15" t="s">
        <v>2</v>
      </c>
      <c r="L13" s="26">
        <f>COUNTIF(scores5_mouth,"IoU 25")</f>
        <v>52</v>
      </c>
      <c r="M13" s="26">
        <f>COUNTIF(scores5_mouth,"IoU 50")</f>
        <v>94</v>
      </c>
      <c r="N13" s="26">
        <f>COUNTIF(scores5_mouth,"IoU 75")</f>
        <v>63</v>
      </c>
      <c r="O13" s="27">
        <f>COUNTIF(scores5_mouth,"IoU 100")</f>
        <v>0</v>
      </c>
      <c r="R13" s="15" t="s">
        <v>2</v>
      </c>
      <c r="S13" s="26">
        <f>COUNTIF(scores2_mouth2,"IoU 25")</f>
        <v>47</v>
      </c>
      <c r="T13" s="26">
        <f>COUNTIF(scores2_mouth2,"IoU 50")</f>
        <v>134</v>
      </c>
      <c r="U13" s="26">
        <f>COUNTIF(scores2_mouth2,"IoU 75")</f>
        <v>17</v>
      </c>
      <c r="V13" s="27">
        <f>COUNTIF(scores2_mouth2,"IoU 100")</f>
        <v>2</v>
      </c>
      <c r="W13" s="1"/>
      <c r="X13" s="15" t="s">
        <v>2</v>
      </c>
      <c r="Y13" s="26">
        <f>COUNTIF(scores5_mouth2,"IoU 25")</f>
        <v>64</v>
      </c>
      <c r="Z13" s="26">
        <f>COUNTIF(scores5_mouth2,"IoU 50")</f>
        <v>134</v>
      </c>
      <c r="AA13" s="26">
        <f>COUNTIF(scores5_mouth2,"IoU 75")</f>
        <v>6</v>
      </c>
      <c r="AB13" s="27">
        <f>COUNTIF(scores5_mouth2,"IoU 100")</f>
        <v>1</v>
      </c>
    </row>
    <row r="14" spans="1:28" x14ac:dyDescent="0.25">
      <c r="A14" s="12" t="s">
        <v>35</v>
      </c>
      <c r="E14" s="21"/>
      <c r="F14" s="32"/>
      <c r="G14" s="32"/>
      <c r="H14" s="32"/>
      <c r="I14" s="32"/>
      <c r="K14" s="21"/>
      <c r="L14" s="32"/>
      <c r="M14" s="32"/>
      <c r="N14" s="32"/>
      <c r="O14" s="32"/>
      <c r="R14" s="21"/>
      <c r="S14" s="32"/>
      <c r="T14" s="32"/>
      <c r="U14" s="32"/>
      <c r="V14" s="32"/>
      <c r="W14" s="1"/>
      <c r="X14" s="21"/>
      <c r="Y14" s="32"/>
      <c r="Z14" s="32"/>
      <c r="AA14" s="32"/>
      <c r="AB14" s="32"/>
    </row>
    <row r="15" spans="1:28" ht="15.75" thickBot="1" x14ac:dyDescent="0.3">
      <c r="A15" s="12" t="s">
        <v>36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E16" s="42" t="s">
        <v>16</v>
      </c>
      <c r="F16" s="43"/>
      <c r="G16" s="43"/>
      <c r="H16" s="43"/>
      <c r="I16" s="44"/>
      <c r="R16" s="42" t="s">
        <v>16</v>
      </c>
      <c r="S16" s="43"/>
      <c r="T16" s="43"/>
      <c r="U16" s="43"/>
      <c r="V16" s="44"/>
      <c r="W16" s="1"/>
      <c r="X16" s="1"/>
      <c r="Y16" s="1"/>
      <c r="Z16" s="1"/>
      <c r="AA16" s="1"/>
      <c r="AB16" s="1"/>
    </row>
    <row r="17" spans="5:28" ht="15.75" thickBot="1" x14ac:dyDescent="0.3">
      <c r="E17" s="18" t="s">
        <v>22</v>
      </c>
      <c r="F17" s="19" t="s">
        <v>7</v>
      </c>
      <c r="G17" s="19" t="s">
        <v>8</v>
      </c>
      <c r="H17" s="19" t="s">
        <v>9</v>
      </c>
      <c r="I17" s="20" t="s">
        <v>10</v>
      </c>
      <c r="R17" s="18" t="s">
        <v>22</v>
      </c>
      <c r="S17" s="19" t="s">
        <v>7</v>
      </c>
      <c r="T17" s="19" t="s">
        <v>8</v>
      </c>
      <c r="U17" s="19" t="s">
        <v>9</v>
      </c>
      <c r="V17" s="20" t="s">
        <v>10</v>
      </c>
      <c r="W17" s="1"/>
      <c r="X17" s="1"/>
      <c r="Y17" s="1"/>
      <c r="Z17" s="1"/>
      <c r="AA17" s="1"/>
      <c r="AB17" s="1"/>
    </row>
    <row r="18" spans="5:28" x14ac:dyDescent="0.25">
      <c r="E18" s="13" t="s">
        <v>0</v>
      </c>
      <c r="F18" s="22">
        <f>COUNTIF(scores3_face,"IoU 25")</f>
        <v>0</v>
      </c>
      <c r="G18" s="22">
        <f>COUNTIF(scores3_face,"IoU 50")</f>
        <v>31</v>
      </c>
      <c r="H18" s="22">
        <f>COUNTIF(scores3_face,"IoU 75")</f>
        <v>15</v>
      </c>
      <c r="I18" s="23">
        <f>COUNTIF(scores3_face,"IoU 100")</f>
        <v>158</v>
      </c>
      <c r="R18" s="13" t="s">
        <v>0</v>
      </c>
      <c r="S18" s="22">
        <f>COUNTIF(scores3_face2,"IoU 25")</f>
        <v>37</v>
      </c>
      <c r="T18" s="22">
        <f>COUNTIF(scores3_face2,"IoU 50")</f>
        <v>128</v>
      </c>
      <c r="U18" s="22">
        <f>COUNTIF(scores3_face2,"IoU 75")</f>
        <v>33</v>
      </c>
      <c r="V18" s="23">
        <f>COUNTIF(scores3_face2,"IoU 100")</f>
        <v>10</v>
      </c>
      <c r="W18" s="1"/>
      <c r="X18" s="1"/>
      <c r="Y18" s="1"/>
      <c r="Z18" s="1"/>
      <c r="AA18" s="1"/>
      <c r="AB18" s="1"/>
    </row>
    <row r="19" spans="5:28" x14ac:dyDescent="0.25">
      <c r="E19" s="14" t="s">
        <v>1</v>
      </c>
      <c r="F19" s="24">
        <f>COUNTIF(scores3_eyes,"IoU 25")</f>
        <v>3</v>
      </c>
      <c r="G19" s="24">
        <f>COUNTIF(scores3_eyes,"IoU 50")</f>
        <v>54</v>
      </c>
      <c r="H19" s="24">
        <f>COUNTIF(scores3_eyes,"IoU 75")</f>
        <v>100</v>
      </c>
      <c r="I19" s="25">
        <f>COUNTIF(scores3_eyes,"IoU 100")</f>
        <v>47</v>
      </c>
      <c r="R19" s="14" t="s">
        <v>1</v>
      </c>
      <c r="S19" s="24">
        <f>COUNTIF(scores3_eyes2,"IoU 25")</f>
        <v>38</v>
      </c>
      <c r="T19" s="24">
        <f>COUNTIF(scores3_eyes2,"IoU 50")</f>
        <v>106</v>
      </c>
      <c r="U19" s="24">
        <f>COUNTIF(scores3_eyes2,"IoU 75")</f>
        <v>56</v>
      </c>
      <c r="V19" s="25">
        <f>COUNTIF(scores3_eyes2,"IoU 100")</f>
        <v>8</v>
      </c>
      <c r="W19" s="1"/>
      <c r="X19" s="1"/>
      <c r="Y19" s="1"/>
      <c r="Z19" s="1"/>
      <c r="AA19" s="1"/>
      <c r="AB19" s="1"/>
    </row>
    <row r="20" spans="5:28" x14ac:dyDescent="0.25">
      <c r="E20" s="15" t="s">
        <v>2</v>
      </c>
      <c r="F20" s="26">
        <f>COUNTIF(scores3_mouth,"IoU 25")</f>
        <v>6</v>
      </c>
      <c r="G20" s="26">
        <f>COUNTIF(scores3_mouth,"IoU 50")</f>
        <v>66</v>
      </c>
      <c r="H20" s="26">
        <f>COUNTIF(scores3_mouth,"IoU 75")</f>
        <v>115</v>
      </c>
      <c r="I20" s="27">
        <f>COUNTIF(scores3_mouth,"IoU 100")</f>
        <v>17</v>
      </c>
      <c r="R20" s="15" t="s">
        <v>2</v>
      </c>
      <c r="S20" s="26">
        <f>COUNTIF(scores3_mouth2,"IoU 25")</f>
        <v>58</v>
      </c>
      <c r="T20" s="26">
        <f>COUNTIF(scores3_mouth2,"IoU 50")</f>
        <v>130</v>
      </c>
      <c r="U20" s="26">
        <f>COUNTIF(scores3_mouth2,"IoU 75")</f>
        <v>19</v>
      </c>
      <c r="V20" s="27">
        <f>COUNTIF(scores3_mouth2,"IoU 100")</f>
        <v>1</v>
      </c>
      <c r="W20" s="1"/>
      <c r="X20" s="1"/>
      <c r="Y20" s="1"/>
      <c r="Z20" s="1"/>
      <c r="AA20" s="1"/>
      <c r="AB20" s="1"/>
    </row>
    <row r="21" spans="5:28" x14ac:dyDescent="0.25">
      <c r="W21" s="1"/>
    </row>
  </sheetData>
  <mergeCells count="13">
    <mergeCell ref="A2:B2"/>
    <mergeCell ref="E2:I2"/>
    <mergeCell ref="E9:I9"/>
    <mergeCell ref="E16:I16"/>
    <mergeCell ref="K2:O2"/>
    <mergeCell ref="R16:V16"/>
    <mergeCell ref="K9:O9"/>
    <mergeCell ref="E1:O1"/>
    <mergeCell ref="R1:AB1"/>
    <mergeCell ref="R2:V2"/>
    <mergeCell ref="X2:AB2"/>
    <mergeCell ref="R9:V9"/>
    <mergeCell ref="X9:AB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BA5-5C80-4CA0-BE43-F44A9BC54AEC}">
  <dimension ref="A1:AM213"/>
  <sheetViews>
    <sheetView topLeftCell="B1" workbookViewId="0">
      <selection activeCell="O4" sqref="O4:O213"/>
    </sheetView>
  </sheetViews>
  <sheetFormatPr defaultRowHeight="12.75" x14ac:dyDescent="0.2"/>
  <cols>
    <col min="1" max="1" width="12.7109375" style="11" customWidth="1"/>
    <col min="2" max="2" width="13.7109375" style="11" customWidth="1"/>
    <col min="3" max="3" width="9.140625" style="11"/>
    <col min="4" max="4" width="10.42578125" style="11" bestFit="1" customWidth="1"/>
    <col min="5" max="6" width="10.42578125" style="11" customWidth="1"/>
    <col min="7" max="7" width="10.85546875" style="11" bestFit="1" customWidth="1"/>
    <col min="8" max="8" width="9.140625" style="11" customWidth="1"/>
    <col min="9" max="9" width="12.7109375" style="11" customWidth="1"/>
    <col min="10" max="11" width="13.7109375" style="11" customWidth="1"/>
    <col min="12" max="12" width="9.140625" style="11"/>
    <col min="13" max="13" width="10.42578125" style="11" bestFit="1" customWidth="1"/>
    <col min="14" max="14" width="10.42578125" style="11" customWidth="1"/>
    <col min="15" max="15" width="10.85546875" style="11" bestFit="1" customWidth="1"/>
    <col min="16" max="16" width="9.140625" style="11"/>
    <col min="17" max="17" width="12.7109375" style="11" customWidth="1"/>
    <col min="18" max="19" width="13.7109375" style="11" customWidth="1"/>
    <col min="20" max="20" width="9.140625" style="11"/>
    <col min="21" max="21" width="10.42578125" style="11" bestFit="1" customWidth="1"/>
    <col min="22" max="22" width="10.42578125" style="11" customWidth="1"/>
    <col min="23" max="23" width="10.85546875" style="11" bestFit="1" customWidth="1"/>
    <col min="24" max="24" width="9.140625" style="11"/>
    <col min="25" max="26" width="12.7109375" style="11" customWidth="1"/>
    <col min="27" max="27" width="13.7109375" style="11" customWidth="1"/>
    <col min="28" max="28" width="9.140625" style="11"/>
    <col min="29" max="29" width="10.42578125" style="11" bestFit="1" customWidth="1"/>
    <col min="30" max="30" width="10.42578125" style="11" customWidth="1"/>
    <col min="31" max="31" width="10.85546875" style="11" bestFit="1" customWidth="1"/>
    <col min="32" max="32" width="9.140625" style="11"/>
    <col min="33" max="34" width="12.7109375" style="11" customWidth="1"/>
    <col min="35" max="35" width="13.7109375" style="11" customWidth="1"/>
    <col min="36" max="36" width="9.140625" style="11"/>
    <col min="37" max="37" width="10.42578125" style="11" bestFit="1" customWidth="1"/>
    <col min="38" max="38" width="10.42578125" style="11" customWidth="1"/>
    <col min="39" max="39" width="10.85546875" style="11" bestFit="1" customWidth="1"/>
    <col min="40" max="16384" width="9.140625" style="11"/>
  </cols>
  <sheetData>
    <row r="1" spans="1:39" x14ac:dyDescent="0.2">
      <c r="A1" s="47" t="s">
        <v>14</v>
      </c>
      <c r="B1" s="47"/>
      <c r="C1" s="47"/>
      <c r="D1" s="47"/>
      <c r="E1" s="47"/>
      <c r="F1" s="47"/>
      <c r="G1" s="47"/>
      <c r="I1" s="47" t="s">
        <v>15</v>
      </c>
      <c r="J1" s="47"/>
      <c r="K1" s="47"/>
      <c r="L1" s="47"/>
      <c r="M1" s="47"/>
      <c r="N1" s="47"/>
      <c r="O1" s="47"/>
      <c r="Q1" s="47" t="s">
        <v>16</v>
      </c>
      <c r="R1" s="47"/>
      <c r="S1" s="47"/>
      <c r="T1" s="47"/>
      <c r="U1" s="47"/>
      <c r="V1" s="47"/>
      <c r="W1" s="47"/>
      <c r="Y1" s="47" t="s">
        <v>20</v>
      </c>
      <c r="Z1" s="47"/>
      <c r="AA1" s="47"/>
      <c r="AB1" s="47"/>
      <c r="AC1" s="47"/>
      <c r="AD1" s="47"/>
      <c r="AE1" s="47"/>
      <c r="AG1" s="47" t="s">
        <v>21</v>
      </c>
      <c r="AH1" s="47"/>
      <c r="AI1" s="47"/>
      <c r="AJ1" s="47"/>
      <c r="AK1" s="47"/>
      <c r="AL1" s="47"/>
      <c r="AM1" s="47"/>
    </row>
    <row r="2" spans="1:39" x14ac:dyDescent="0.2">
      <c r="A2" s="46" t="s">
        <v>18</v>
      </c>
      <c r="B2" s="46"/>
      <c r="C2" s="46"/>
      <c r="D2" s="46" t="s">
        <v>19</v>
      </c>
      <c r="E2" s="46"/>
      <c r="F2" s="46"/>
      <c r="G2" s="46"/>
      <c r="I2" s="46" t="s">
        <v>18</v>
      </c>
      <c r="J2" s="46"/>
      <c r="K2" s="46"/>
      <c r="M2" s="46" t="s">
        <v>19</v>
      </c>
      <c r="N2" s="46"/>
      <c r="O2" s="46"/>
      <c r="Q2" s="46" t="s">
        <v>18</v>
      </c>
      <c r="R2" s="46"/>
      <c r="S2" s="46"/>
      <c r="U2" s="46" t="s">
        <v>19</v>
      </c>
      <c r="V2" s="46"/>
      <c r="W2" s="46"/>
      <c r="Y2" s="46" t="s">
        <v>18</v>
      </c>
      <c r="Z2" s="46"/>
      <c r="AA2" s="46"/>
      <c r="AC2" s="46" t="s">
        <v>19</v>
      </c>
      <c r="AD2" s="46"/>
      <c r="AE2" s="46"/>
      <c r="AG2" s="46" t="s">
        <v>18</v>
      </c>
      <c r="AH2" s="46"/>
      <c r="AI2" s="46"/>
      <c r="AK2" s="46" t="s">
        <v>19</v>
      </c>
      <c r="AL2" s="46"/>
      <c r="AM2" s="46"/>
    </row>
    <row r="3" spans="1:39" x14ac:dyDescent="0.2">
      <c r="A3" s="11" t="s">
        <v>27</v>
      </c>
      <c r="B3" s="11" t="s">
        <v>28</v>
      </c>
      <c r="C3" s="11" t="s">
        <v>29</v>
      </c>
      <c r="E3" s="11" t="s">
        <v>31</v>
      </c>
      <c r="F3" s="11" t="s">
        <v>30</v>
      </c>
      <c r="G3" s="11" t="s">
        <v>29</v>
      </c>
      <c r="I3" s="11" t="s">
        <v>27</v>
      </c>
      <c r="J3" s="11" t="s">
        <v>28</v>
      </c>
      <c r="K3" s="11" t="s">
        <v>29</v>
      </c>
      <c r="M3" s="11" t="s">
        <v>31</v>
      </c>
      <c r="N3" s="11" t="s">
        <v>30</v>
      </c>
      <c r="O3" s="11" t="s">
        <v>29</v>
      </c>
      <c r="Q3" s="11" t="s">
        <v>27</v>
      </c>
      <c r="R3" s="11" t="s">
        <v>28</v>
      </c>
      <c r="S3" s="11" t="s">
        <v>29</v>
      </c>
      <c r="U3" s="11" t="s">
        <v>31</v>
      </c>
      <c r="V3" s="11" t="s">
        <v>30</v>
      </c>
      <c r="W3" s="11" t="s">
        <v>29</v>
      </c>
      <c r="Y3" s="11" t="s">
        <v>27</v>
      </c>
      <c r="Z3" s="11" t="s">
        <v>28</v>
      </c>
      <c r="AA3" s="11" t="s">
        <v>29</v>
      </c>
      <c r="AC3" s="11" t="s">
        <v>31</v>
      </c>
      <c r="AD3" s="11" t="s">
        <v>30</v>
      </c>
      <c r="AE3" s="11" t="s">
        <v>29</v>
      </c>
      <c r="AG3" s="11" t="s">
        <v>27</v>
      </c>
      <c r="AH3" s="11" t="s">
        <v>28</v>
      </c>
      <c r="AI3" s="11" t="s">
        <v>29</v>
      </c>
      <c r="AK3" s="11" t="s">
        <v>31</v>
      </c>
      <c r="AL3" s="11" t="s">
        <v>30</v>
      </c>
      <c r="AM3" s="11" t="s">
        <v>29</v>
      </c>
    </row>
    <row r="4" spans="1:39" x14ac:dyDescent="0.2">
      <c r="A4" s="11">
        <v>0.53839186043899301</v>
      </c>
      <c r="C4" s="11">
        <v>0.48754351647662225</v>
      </c>
      <c r="E4" s="11" t="str">
        <f t="shared" ref="E4:E67" si="0">VLOOKUP(A4,IoU_Thresholds,2,TRUE)</f>
        <v>IoU 75</v>
      </c>
      <c r="F4" s="11" t="str">
        <f t="shared" ref="F4:G19" si="1">VLOOKUP(B4,IoU_Thresholds,2,TRUE)</f>
        <v>IoU 25</v>
      </c>
      <c r="G4" s="35" t="str">
        <f t="shared" si="1"/>
        <v>IoU 50</v>
      </c>
      <c r="I4" s="11">
        <v>0.49213347387014511</v>
      </c>
      <c r="J4" s="11">
        <v>0.75340520888942786</v>
      </c>
      <c r="K4" s="11">
        <v>0.42913222309387433</v>
      </c>
      <c r="M4" s="11">
        <f>(I4+J4)/2</f>
        <v>0.62276934137978646</v>
      </c>
      <c r="N4" s="35" t="str">
        <f t="shared" ref="N4:N36" si="2">VLOOKUP(M4,IoU_Thresholds,2,TRUE)</f>
        <v>IoU 75</v>
      </c>
      <c r="O4" s="35" t="str">
        <f t="shared" ref="O4" si="3">VLOOKUP(K4,IoU_Thresholds,2,TRUE)</f>
        <v>IoU 50</v>
      </c>
      <c r="Q4" s="11">
        <v>0.42485129672604927</v>
      </c>
      <c r="R4" s="11">
        <v>0.42319499107839276</v>
      </c>
      <c r="S4" s="11">
        <v>0.42660653393551051</v>
      </c>
      <c r="U4" s="11">
        <f>(Q4+R4)/2</f>
        <v>0.42402314390222101</v>
      </c>
      <c r="V4" s="35" t="str">
        <f t="shared" ref="V4:V67" si="4">VLOOKUP(U4,IoU_Thresholds,2,TRUE)</f>
        <v>IoU 50</v>
      </c>
      <c r="W4" s="35" t="str">
        <f t="shared" ref="W4" si="5">VLOOKUP(S4,IoU_Thresholds,2,TRUE)</f>
        <v>IoU 50</v>
      </c>
      <c r="Y4" s="11">
        <v>0.37973933931892567</v>
      </c>
      <c r="Z4" s="11">
        <v>0.19989121566494425</v>
      </c>
      <c r="AA4" s="11">
        <v>0.29741442995707085</v>
      </c>
      <c r="AC4" s="11">
        <f>(Y4+Z4)/2</f>
        <v>0.28981527749193498</v>
      </c>
      <c r="AD4" s="35" t="str">
        <f t="shared" ref="AD4:AD10" si="6">VLOOKUP(AC4,IoU_Thresholds,2,TRUE)</f>
        <v>IoU 50</v>
      </c>
      <c r="AE4" s="35" t="str">
        <f t="shared" ref="AE4" si="7">VLOOKUP(AA4,IoU_Thresholds,2,TRUE)</f>
        <v>IoU 50</v>
      </c>
      <c r="AG4" s="11">
        <v>0</v>
      </c>
      <c r="AH4" s="11">
        <v>0.27143675383923538</v>
      </c>
      <c r="AI4" s="11">
        <v>0.21135563819934394</v>
      </c>
      <c r="AK4" s="11">
        <f>(AG4+AH4)/2</f>
        <v>0.13571837691961769</v>
      </c>
      <c r="AL4" s="35" t="str">
        <f t="shared" ref="AL4:AL67" si="8">VLOOKUP(AK4,IoU_Thresholds,2,TRUE)</f>
        <v>IoU 25</v>
      </c>
      <c r="AM4" s="35" t="str">
        <f t="shared" ref="AM4" si="9">VLOOKUP(AI4,IoU_Thresholds,2,TRUE)</f>
        <v>IoU 25</v>
      </c>
    </row>
    <row r="5" spans="1:39" x14ac:dyDescent="0.2">
      <c r="A5" s="11">
        <v>4.2721518987341771E-2</v>
      </c>
      <c r="C5" s="11">
        <v>0.25334908866609385</v>
      </c>
      <c r="E5" s="11" t="str">
        <f t="shared" si="0"/>
        <v>IoU 25</v>
      </c>
      <c r="G5" s="35" t="str">
        <f t="shared" si="1"/>
        <v>IoU 50</v>
      </c>
      <c r="I5" s="11">
        <v>0.21811250366494231</v>
      </c>
      <c r="J5" s="11">
        <v>0.4098402767696997</v>
      </c>
      <c r="K5" s="11">
        <v>0.24459950613201106</v>
      </c>
      <c r="M5" s="11">
        <f t="shared" ref="M5:M68" si="10">(I5+J5)/2</f>
        <v>0.31397639021732099</v>
      </c>
      <c r="N5" s="35" t="str">
        <f t="shared" si="2"/>
        <v>IoU 50</v>
      </c>
      <c r="O5" s="35" t="str">
        <f t="shared" ref="O5:O68" si="11">VLOOKUP(K5,IoU_Thresholds,2,TRUE)</f>
        <v>IoU 25</v>
      </c>
      <c r="Q5" s="11">
        <v>0.24248177000214127</v>
      </c>
      <c r="R5" s="11">
        <v>0.40115105493493786</v>
      </c>
      <c r="S5" s="11">
        <v>0.5995623265209572</v>
      </c>
      <c r="U5" s="11">
        <f t="shared" ref="U5:U68" si="12">(Q5+R5)/2</f>
        <v>0.32181641246853954</v>
      </c>
      <c r="V5" s="35" t="str">
        <f t="shared" si="4"/>
        <v>IoU 50</v>
      </c>
      <c r="W5" s="35" t="str">
        <f t="shared" ref="W5:W68" si="13">VLOOKUP(S5,IoU_Thresholds,2,TRUE)</f>
        <v>IoU 75</v>
      </c>
      <c r="Y5" s="11">
        <v>0</v>
      </c>
      <c r="Z5" s="11">
        <v>0.74982557142986717</v>
      </c>
      <c r="AA5" s="11">
        <v>0.32951643014164655</v>
      </c>
      <c r="AC5" s="11">
        <f t="shared" ref="AC5:AC66" si="14">(Y5+Z5)/2</f>
        <v>0.37491278571493358</v>
      </c>
      <c r="AD5" s="35" t="str">
        <f t="shared" si="6"/>
        <v>IoU 50</v>
      </c>
      <c r="AE5" s="35" t="str">
        <f t="shared" ref="AE5:AE67" si="15">VLOOKUP(AA5,IoU_Thresholds,2,TRUE)</f>
        <v>IoU 50</v>
      </c>
      <c r="AG5" s="11">
        <v>0.19107648725212464</v>
      </c>
      <c r="AH5" s="11">
        <v>0.68852792403459873</v>
      </c>
      <c r="AI5" s="11">
        <v>0.11564192575937307</v>
      </c>
      <c r="AK5" s="11">
        <f t="shared" ref="AK5:AK68" si="16">(AG5+AH5)/2</f>
        <v>0.4398022056433617</v>
      </c>
      <c r="AL5" s="35" t="str">
        <f t="shared" si="8"/>
        <v>IoU 50</v>
      </c>
      <c r="AM5" s="35" t="str">
        <f t="shared" ref="AM5:AM68" si="17">VLOOKUP(AI5,IoU_Thresholds,2,TRUE)</f>
        <v>IoU 25</v>
      </c>
    </row>
    <row r="6" spans="1:39" x14ac:dyDescent="0.2">
      <c r="C6" s="11">
        <v>0.50345515225183857</v>
      </c>
      <c r="E6" s="11" t="str">
        <f t="shared" si="0"/>
        <v>IoU 25</v>
      </c>
      <c r="G6" s="35" t="str">
        <f t="shared" si="1"/>
        <v>IoU 75</v>
      </c>
      <c r="I6" s="11">
        <v>0.16486469495432912</v>
      </c>
      <c r="J6" s="11">
        <v>0.37888012534868687</v>
      </c>
      <c r="K6" s="11">
        <v>0.27720797919040746</v>
      </c>
      <c r="M6" s="11">
        <f t="shared" si="10"/>
        <v>0.27187241015150798</v>
      </c>
      <c r="N6" s="35" t="str">
        <f t="shared" si="2"/>
        <v>IoU 50</v>
      </c>
      <c r="O6" s="35" t="str">
        <f t="shared" si="11"/>
        <v>IoU 50</v>
      </c>
      <c r="Q6" s="11">
        <v>0.34719149885037159</v>
      </c>
      <c r="R6" s="11">
        <v>0.77943188641510452</v>
      </c>
      <c r="S6" s="11">
        <v>0.56699460068479546</v>
      </c>
      <c r="U6" s="11">
        <f t="shared" si="12"/>
        <v>0.56331169263273806</v>
      </c>
      <c r="V6" s="35" t="str">
        <f t="shared" si="4"/>
        <v>IoU 75</v>
      </c>
      <c r="W6" s="35" t="str">
        <f t="shared" si="13"/>
        <v>IoU 75</v>
      </c>
      <c r="Y6" s="11">
        <v>0</v>
      </c>
      <c r="Z6" s="11">
        <v>0.69817630941145192</v>
      </c>
      <c r="AA6" s="11">
        <v>0.60595460305302784</v>
      </c>
      <c r="AC6" s="11">
        <f t="shared" si="14"/>
        <v>0.34908815470572596</v>
      </c>
      <c r="AD6" s="35" t="str">
        <f t="shared" si="6"/>
        <v>IoU 50</v>
      </c>
      <c r="AE6" s="35" t="str">
        <f t="shared" si="15"/>
        <v>IoU 75</v>
      </c>
      <c r="AG6" s="11">
        <v>0.31520988756036949</v>
      </c>
      <c r="AH6" s="11">
        <v>0.39263082233924945</v>
      </c>
      <c r="AI6" s="11">
        <v>0.20857666712660455</v>
      </c>
      <c r="AK6" s="11">
        <f t="shared" si="16"/>
        <v>0.35392035494980945</v>
      </c>
      <c r="AL6" s="35" t="str">
        <f t="shared" si="8"/>
        <v>IoU 50</v>
      </c>
      <c r="AM6" s="35" t="str">
        <f t="shared" si="17"/>
        <v>IoU 25</v>
      </c>
    </row>
    <row r="7" spans="1:39" x14ac:dyDescent="0.2">
      <c r="A7" s="11">
        <v>5.6318258071142456E-2</v>
      </c>
      <c r="C7" s="11">
        <v>0.25537686724785758</v>
      </c>
      <c r="E7" s="11" t="str">
        <f t="shared" si="0"/>
        <v>IoU 25</v>
      </c>
      <c r="G7" s="35" t="str">
        <f t="shared" si="1"/>
        <v>IoU 50</v>
      </c>
      <c r="I7" s="11">
        <v>0.47553817895990969</v>
      </c>
      <c r="J7" s="11">
        <v>0.50185408346083304</v>
      </c>
      <c r="K7" s="11">
        <v>0.2431567988914172</v>
      </c>
      <c r="M7" s="11">
        <f t="shared" si="10"/>
        <v>0.48869613121037137</v>
      </c>
      <c r="N7" s="35" t="str">
        <f t="shared" si="2"/>
        <v>IoU 50</v>
      </c>
      <c r="O7" s="35" t="str">
        <f t="shared" si="11"/>
        <v>IoU 25</v>
      </c>
      <c r="Q7" s="11">
        <v>0.46549684438103289</v>
      </c>
      <c r="R7" s="11">
        <v>0.38932395931341768</v>
      </c>
      <c r="U7" s="11">
        <f t="shared" si="12"/>
        <v>0.42741040184722529</v>
      </c>
      <c r="V7" s="35" t="str">
        <f t="shared" si="4"/>
        <v>IoU 50</v>
      </c>
      <c r="W7" s="35"/>
      <c r="Z7" s="11">
        <v>0.1556261737899321</v>
      </c>
      <c r="AA7" s="11">
        <v>0.43244801463534593</v>
      </c>
      <c r="AC7" s="11">
        <v>0.1556261737899321</v>
      </c>
      <c r="AD7" s="35" t="str">
        <f t="shared" si="6"/>
        <v>IoU 25</v>
      </c>
      <c r="AE7" s="35" t="str">
        <f t="shared" si="15"/>
        <v>IoU 50</v>
      </c>
      <c r="AG7" s="11">
        <v>9.8550964168883731E-2</v>
      </c>
      <c r="AH7" s="11">
        <v>0.64847156212416368</v>
      </c>
      <c r="AI7" s="11">
        <v>0.45683313417513044</v>
      </c>
      <c r="AK7" s="11">
        <f t="shared" si="16"/>
        <v>0.37351126314652372</v>
      </c>
      <c r="AL7" s="35" t="str">
        <f t="shared" si="8"/>
        <v>IoU 50</v>
      </c>
      <c r="AM7" s="35" t="str">
        <f t="shared" si="17"/>
        <v>IoU 50</v>
      </c>
    </row>
    <row r="8" spans="1:39" x14ac:dyDescent="0.2">
      <c r="A8" s="11">
        <v>0.53128880455849425</v>
      </c>
      <c r="C8" s="11">
        <v>0.60632648643591569</v>
      </c>
      <c r="E8" s="11" t="str">
        <f t="shared" si="0"/>
        <v>IoU 75</v>
      </c>
      <c r="G8" s="35" t="str">
        <f t="shared" si="1"/>
        <v>IoU 75</v>
      </c>
      <c r="I8" s="11">
        <v>0.21316551516567489</v>
      </c>
      <c r="J8" s="11">
        <v>0.22405520672906054</v>
      </c>
      <c r="K8" s="11">
        <v>0.3674842563778975</v>
      </c>
      <c r="M8" s="11">
        <f t="shared" si="10"/>
        <v>0.21861036094736772</v>
      </c>
      <c r="N8" s="35" t="str">
        <f t="shared" si="2"/>
        <v>IoU 25</v>
      </c>
      <c r="O8" s="35" t="str">
        <f t="shared" si="11"/>
        <v>IoU 50</v>
      </c>
      <c r="Q8" s="11">
        <v>0.19434718377194002</v>
      </c>
      <c r="R8" s="11">
        <v>0.42151446713737722</v>
      </c>
      <c r="S8" s="11">
        <v>0.42487951426786347</v>
      </c>
      <c r="U8" s="11">
        <f t="shared" si="12"/>
        <v>0.30793082545465861</v>
      </c>
      <c r="V8" s="35" t="str">
        <f t="shared" si="4"/>
        <v>IoU 50</v>
      </c>
      <c r="W8" s="35" t="str">
        <f t="shared" si="13"/>
        <v>IoU 50</v>
      </c>
      <c r="Y8" s="11">
        <v>0.33293170894684088</v>
      </c>
      <c r="Z8" s="11">
        <v>0.30129336190087119</v>
      </c>
      <c r="AA8" s="11">
        <v>0.15551050566263741</v>
      </c>
      <c r="AC8" s="11">
        <f t="shared" si="14"/>
        <v>0.31711253542385603</v>
      </c>
      <c r="AD8" s="35" t="str">
        <f t="shared" si="6"/>
        <v>IoU 50</v>
      </c>
      <c r="AE8" s="35" t="str">
        <f t="shared" si="15"/>
        <v>IoU 25</v>
      </c>
      <c r="AG8" s="11">
        <v>0.4212646726316292</v>
      </c>
      <c r="AH8" s="11">
        <v>0.39007830256637355</v>
      </c>
      <c r="AI8" s="11">
        <v>0.44662932801512917</v>
      </c>
      <c r="AK8" s="11">
        <f t="shared" si="16"/>
        <v>0.4056714875990014</v>
      </c>
      <c r="AL8" s="35" t="str">
        <f t="shared" si="8"/>
        <v>IoU 50</v>
      </c>
      <c r="AM8" s="35" t="str">
        <f t="shared" si="17"/>
        <v>IoU 50</v>
      </c>
    </row>
    <row r="9" spans="1:39" x14ac:dyDescent="0.2">
      <c r="A9" s="11">
        <v>0.54309562885592721</v>
      </c>
      <c r="C9" s="11">
        <v>0.51552403170281591</v>
      </c>
      <c r="E9" s="11" t="str">
        <f t="shared" si="0"/>
        <v>IoU 75</v>
      </c>
      <c r="G9" s="35" t="str">
        <f t="shared" si="1"/>
        <v>IoU 75</v>
      </c>
      <c r="I9" s="11">
        <v>0.62069013439112852</v>
      </c>
      <c r="J9" s="11">
        <v>0.54699721745639507</v>
      </c>
      <c r="M9" s="11">
        <f t="shared" si="10"/>
        <v>0.58384367592376174</v>
      </c>
      <c r="N9" s="35" t="str">
        <f t="shared" si="2"/>
        <v>IoU 75</v>
      </c>
      <c r="O9" s="35"/>
      <c r="Q9" s="11">
        <v>0</v>
      </c>
      <c r="R9" s="11">
        <v>0.46345125410832161</v>
      </c>
      <c r="S9" s="11">
        <v>0.3376628670982143</v>
      </c>
      <c r="U9" s="11">
        <f t="shared" si="12"/>
        <v>0.2317256270541608</v>
      </c>
      <c r="V9" s="35" t="str">
        <f t="shared" si="4"/>
        <v>IoU 25</v>
      </c>
      <c r="W9" s="35" t="str">
        <f t="shared" si="13"/>
        <v>IoU 50</v>
      </c>
      <c r="Y9" s="11">
        <v>0.20046722322360308</v>
      </c>
      <c r="Z9" s="11">
        <v>0.64656303546324423</v>
      </c>
      <c r="AA9" s="11">
        <v>0.4578279556693326</v>
      </c>
      <c r="AC9" s="11">
        <f t="shared" si="14"/>
        <v>0.42351512934342367</v>
      </c>
      <c r="AD9" s="35" t="str">
        <f t="shared" si="6"/>
        <v>IoU 50</v>
      </c>
      <c r="AE9" s="35" t="str">
        <f t="shared" si="15"/>
        <v>IoU 50</v>
      </c>
      <c r="AG9" s="11">
        <v>0</v>
      </c>
      <c r="AH9" s="11">
        <v>0.42825061710874768</v>
      </c>
      <c r="AI9" s="11">
        <v>0.24746319058959049</v>
      </c>
      <c r="AK9" s="11">
        <f t="shared" si="16"/>
        <v>0.21412530855437384</v>
      </c>
      <c r="AL9" s="35" t="str">
        <f t="shared" si="8"/>
        <v>IoU 25</v>
      </c>
      <c r="AM9" s="35" t="str">
        <f t="shared" si="17"/>
        <v>IoU 25</v>
      </c>
    </row>
    <row r="10" spans="1:39" x14ac:dyDescent="0.2">
      <c r="A10" s="11">
        <v>0.21250647763186287</v>
      </c>
      <c r="C10" s="11">
        <v>0.42942781513606038</v>
      </c>
      <c r="E10" s="11" t="str">
        <f t="shared" si="0"/>
        <v>IoU 25</v>
      </c>
      <c r="G10" s="35" t="str">
        <f t="shared" si="1"/>
        <v>IoU 50</v>
      </c>
      <c r="I10" s="11">
        <v>0.20019616390584133</v>
      </c>
      <c r="J10" s="11">
        <v>0</v>
      </c>
      <c r="K10" s="11">
        <v>0.19309343712404001</v>
      </c>
      <c r="M10" s="11">
        <f t="shared" si="10"/>
        <v>0.10009808195292066</v>
      </c>
      <c r="N10" s="35" t="str">
        <f t="shared" si="2"/>
        <v>IoU 25</v>
      </c>
      <c r="O10" s="35" t="str">
        <f t="shared" si="11"/>
        <v>IoU 25</v>
      </c>
      <c r="Q10" s="11">
        <v>0.1626340431883008</v>
      </c>
      <c r="R10" s="11">
        <v>0.38910064293154256</v>
      </c>
      <c r="S10" s="11">
        <v>0.55890412440560255</v>
      </c>
      <c r="U10" s="11">
        <f t="shared" si="12"/>
        <v>0.27586734305992167</v>
      </c>
      <c r="V10" s="35" t="str">
        <f t="shared" si="4"/>
        <v>IoU 50</v>
      </c>
      <c r="W10" s="35" t="str">
        <f t="shared" si="13"/>
        <v>IoU 75</v>
      </c>
      <c r="Z10" s="11">
        <v>0.22818367789022251</v>
      </c>
      <c r="AC10" s="11">
        <v>0.22818367789022251</v>
      </c>
      <c r="AD10" s="35" t="str">
        <f t="shared" si="6"/>
        <v>IoU 25</v>
      </c>
      <c r="AE10" s="35"/>
      <c r="AG10" s="11">
        <v>0.14966813921808636</v>
      </c>
      <c r="AH10" s="11">
        <v>0.23818074454799423</v>
      </c>
      <c r="AI10" s="11">
        <v>0.3031010013529471</v>
      </c>
      <c r="AK10" s="11">
        <f t="shared" si="16"/>
        <v>0.19392444188304031</v>
      </c>
      <c r="AL10" s="35" t="str">
        <f t="shared" si="8"/>
        <v>IoU 25</v>
      </c>
      <c r="AM10" s="35" t="str">
        <f t="shared" si="17"/>
        <v>IoU 50</v>
      </c>
    </row>
    <row r="11" spans="1:39" x14ac:dyDescent="0.2">
      <c r="A11" s="11">
        <v>0.55523013666453092</v>
      </c>
      <c r="C11" s="11">
        <v>0.34171446574787462</v>
      </c>
      <c r="E11" s="11" t="str">
        <f t="shared" si="0"/>
        <v>IoU 75</v>
      </c>
      <c r="G11" s="35" t="str">
        <f t="shared" si="1"/>
        <v>IoU 50</v>
      </c>
      <c r="I11" s="11">
        <v>0.15145316079297205</v>
      </c>
      <c r="J11" s="11">
        <v>0.42762107773056651</v>
      </c>
      <c r="K11" s="11">
        <v>0.23346956928718182</v>
      </c>
      <c r="M11" s="11">
        <f t="shared" si="10"/>
        <v>0.28953711926176928</v>
      </c>
      <c r="N11" s="35" t="str">
        <f t="shared" si="2"/>
        <v>IoU 50</v>
      </c>
      <c r="O11" s="35" t="str">
        <f t="shared" si="11"/>
        <v>IoU 25</v>
      </c>
      <c r="Q11" s="11">
        <v>0.40780504739044499</v>
      </c>
      <c r="R11" s="11">
        <v>0.41845489020314042</v>
      </c>
      <c r="S11" s="11">
        <v>0.20440083738378628</v>
      </c>
      <c r="U11" s="11">
        <f t="shared" si="12"/>
        <v>0.4131299687967927</v>
      </c>
      <c r="V11" s="35" t="str">
        <f t="shared" si="4"/>
        <v>IoU 50</v>
      </c>
      <c r="W11" s="35" t="str">
        <f t="shared" si="13"/>
        <v>IoU 25</v>
      </c>
      <c r="AA11" s="11">
        <v>0.19785036147242502</v>
      </c>
      <c r="AD11" s="35"/>
      <c r="AE11" s="35" t="str">
        <f t="shared" si="15"/>
        <v>IoU 25</v>
      </c>
      <c r="AG11" s="11">
        <v>0.54735751974393043</v>
      </c>
      <c r="AH11" s="11">
        <v>4.7305366603809761E-3</v>
      </c>
      <c r="AI11" s="11">
        <v>0.2606769754000221</v>
      </c>
      <c r="AK11" s="11">
        <f t="shared" si="16"/>
        <v>0.27604402820215568</v>
      </c>
      <c r="AL11" s="35" t="str">
        <f t="shared" si="8"/>
        <v>IoU 50</v>
      </c>
      <c r="AM11" s="35" t="str">
        <f t="shared" si="17"/>
        <v>IoU 50</v>
      </c>
    </row>
    <row r="12" spans="1:39" x14ac:dyDescent="0.2">
      <c r="A12" s="11">
        <v>8.0834419817470665E-2</v>
      </c>
      <c r="C12" s="11">
        <v>0.40548234088135532</v>
      </c>
      <c r="E12" s="11" t="str">
        <f t="shared" si="0"/>
        <v>IoU 25</v>
      </c>
      <c r="G12" s="35" t="str">
        <f t="shared" si="1"/>
        <v>IoU 50</v>
      </c>
      <c r="I12" s="11">
        <v>0.16062355858009422</v>
      </c>
      <c r="J12" s="11">
        <v>0.38574960111585033</v>
      </c>
      <c r="K12" s="11">
        <v>0.50193528113644126</v>
      </c>
      <c r="M12" s="11">
        <f t="shared" si="10"/>
        <v>0.27318657984797229</v>
      </c>
      <c r="N12" s="35" t="str">
        <f t="shared" si="2"/>
        <v>IoU 50</v>
      </c>
      <c r="O12" s="35" t="str">
        <f t="shared" si="11"/>
        <v>IoU 75</v>
      </c>
      <c r="Q12" s="11">
        <v>0.78535098755579402</v>
      </c>
      <c r="R12" s="11">
        <v>0.7084973723788659</v>
      </c>
      <c r="S12" s="11">
        <v>0.43990806740276223</v>
      </c>
      <c r="U12" s="11">
        <f t="shared" si="12"/>
        <v>0.74692417996732996</v>
      </c>
      <c r="V12" s="35" t="str">
        <f t="shared" si="4"/>
        <v>IoU 75</v>
      </c>
      <c r="W12" s="35" t="str">
        <f t="shared" si="13"/>
        <v>IoU 50</v>
      </c>
      <c r="Y12" s="11">
        <v>9.1944969544213398E-2</v>
      </c>
      <c r="Z12" s="11">
        <v>0.50038201031859664</v>
      </c>
      <c r="AA12" s="11">
        <v>0.56913774371948578</v>
      </c>
      <c r="AC12" s="11">
        <f t="shared" si="14"/>
        <v>0.29616348993140501</v>
      </c>
      <c r="AD12" s="35" t="str">
        <f>VLOOKUP(AC12,IoU_Thresholds,2,TRUE)</f>
        <v>IoU 50</v>
      </c>
      <c r="AE12" s="35" t="str">
        <f t="shared" si="15"/>
        <v>IoU 75</v>
      </c>
      <c r="AG12" s="11">
        <v>0.3402911056131408</v>
      </c>
      <c r="AH12" s="11">
        <v>0.69206923988689595</v>
      </c>
      <c r="AI12" s="11">
        <v>0.12698009529079685</v>
      </c>
      <c r="AK12" s="11">
        <f t="shared" si="16"/>
        <v>0.51618017275001837</v>
      </c>
      <c r="AL12" s="35" t="str">
        <f t="shared" si="8"/>
        <v>IoU 75</v>
      </c>
      <c r="AM12" s="35" t="str">
        <f t="shared" si="17"/>
        <v>IoU 25</v>
      </c>
    </row>
    <row r="13" spans="1:39" x14ac:dyDescent="0.2">
      <c r="A13" s="11">
        <v>7.0816872641908141E-2</v>
      </c>
      <c r="C13" s="11">
        <v>0.44243457407013442</v>
      </c>
      <c r="E13" s="11" t="str">
        <f t="shared" si="0"/>
        <v>IoU 25</v>
      </c>
      <c r="G13" s="35" t="str">
        <f t="shared" si="1"/>
        <v>IoU 50</v>
      </c>
      <c r="I13" s="11">
        <v>8.3777779072287673E-2</v>
      </c>
      <c r="J13" s="11">
        <v>0.64596985295603138</v>
      </c>
      <c r="K13" s="11">
        <v>0.26270936411116891</v>
      </c>
      <c r="M13" s="11">
        <f t="shared" si="10"/>
        <v>0.36487381601415952</v>
      </c>
      <c r="N13" s="35" t="str">
        <f t="shared" si="2"/>
        <v>IoU 50</v>
      </c>
      <c r="O13" s="35" t="str">
        <f t="shared" si="11"/>
        <v>IoU 50</v>
      </c>
      <c r="Q13" s="11">
        <v>0.19214604687473502</v>
      </c>
      <c r="R13" s="11">
        <v>0.80047295384330608</v>
      </c>
      <c r="S13" s="11">
        <v>0.43446128943423723</v>
      </c>
      <c r="U13" s="11">
        <f t="shared" si="12"/>
        <v>0.49630950035902055</v>
      </c>
      <c r="V13" s="35" t="str">
        <f t="shared" si="4"/>
        <v>IoU 50</v>
      </c>
      <c r="W13" s="35" t="str">
        <f t="shared" si="13"/>
        <v>IoU 50</v>
      </c>
      <c r="AA13" s="11">
        <v>0.51412055784456079</v>
      </c>
      <c r="AD13" s="35"/>
      <c r="AE13" s="35" t="str">
        <f t="shared" si="15"/>
        <v>IoU 75</v>
      </c>
      <c r="AG13" s="11">
        <v>0.19241037549964055</v>
      </c>
      <c r="AH13" s="11">
        <v>0.44181333388061578</v>
      </c>
      <c r="AI13" s="11">
        <v>0.13147995992752293</v>
      </c>
      <c r="AK13" s="11">
        <f t="shared" si="16"/>
        <v>0.31711185469012815</v>
      </c>
      <c r="AL13" s="35" t="str">
        <f t="shared" si="8"/>
        <v>IoU 50</v>
      </c>
      <c r="AM13" s="35" t="str">
        <f t="shared" si="17"/>
        <v>IoU 25</v>
      </c>
    </row>
    <row r="14" spans="1:39" x14ac:dyDescent="0.2">
      <c r="A14" s="11">
        <v>0.30682768799789384</v>
      </c>
      <c r="C14" s="11">
        <v>0.48432333251133902</v>
      </c>
      <c r="E14" s="11" t="str">
        <f t="shared" si="0"/>
        <v>IoU 50</v>
      </c>
      <c r="G14" s="35" t="str">
        <f t="shared" si="1"/>
        <v>IoU 50</v>
      </c>
      <c r="I14" s="11">
        <v>0</v>
      </c>
      <c r="J14" s="11">
        <v>0.30713054797269618</v>
      </c>
      <c r="K14" s="11">
        <v>0.53977863769324719</v>
      </c>
      <c r="M14" s="11">
        <f t="shared" si="10"/>
        <v>0.15356527398634809</v>
      </c>
      <c r="N14" s="35" t="str">
        <f t="shared" si="2"/>
        <v>IoU 25</v>
      </c>
      <c r="O14" s="35" t="str">
        <f t="shared" si="11"/>
        <v>IoU 75</v>
      </c>
      <c r="Q14" s="11">
        <v>0.62298792503173694</v>
      </c>
      <c r="R14" s="11">
        <v>0.55556875249509496</v>
      </c>
      <c r="S14" s="11">
        <v>0.43628000733532291</v>
      </c>
      <c r="U14" s="11">
        <f t="shared" si="12"/>
        <v>0.58927833876341595</v>
      </c>
      <c r="V14" s="35" t="str">
        <f t="shared" si="4"/>
        <v>IoU 75</v>
      </c>
      <c r="W14" s="35" t="str">
        <f t="shared" si="13"/>
        <v>IoU 50</v>
      </c>
      <c r="Y14" s="11">
        <v>0</v>
      </c>
      <c r="AA14" s="11">
        <v>0.46478309767891363</v>
      </c>
      <c r="AC14" s="11">
        <v>0</v>
      </c>
      <c r="AD14" s="35" t="str">
        <f t="shared" ref="AD14:AD40" si="18">VLOOKUP(AC14,IoU_Thresholds,2,TRUE)</f>
        <v>IoU 25</v>
      </c>
      <c r="AE14" s="35" t="str">
        <f t="shared" si="15"/>
        <v>IoU 50</v>
      </c>
      <c r="AG14" s="11">
        <v>0.45197059928998995</v>
      </c>
      <c r="AH14" s="11">
        <v>0.71023045062280843</v>
      </c>
      <c r="AI14" s="11">
        <v>0.31479586371385287</v>
      </c>
      <c r="AK14" s="11">
        <f t="shared" si="16"/>
        <v>0.58110052495639919</v>
      </c>
      <c r="AL14" s="35" t="str">
        <f t="shared" si="8"/>
        <v>IoU 75</v>
      </c>
      <c r="AM14" s="35" t="str">
        <f t="shared" si="17"/>
        <v>IoU 50</v>
      </c>
    </row>
    <row r="15" spans="1:39" x14ac:dyDescent="0.2">
      <c r="A15" s="11">
        <v>0.22797020186430539</v>
      </c>
      <c r="C15" s="11">
        <v>0.32514626278733499</v>
      </c>
      <c r="E15" s="11" t="str">
        <f t="shared" si="0"/>
        <v>IoU 25</v>
      </c>
      <c r="G15" s="35" t="str">
        <f t="shared" si="1"/>
        <v>IoU 50</v>
      </c>
      <c r="I15" s="11">
        <v>0.175751995486438</v>
      </c>
      <c r="J15" s="11">
        <v>0.60296841946720503</v>
      </c>
      <c r="K15" s="11">
        <v>0.15982562648927851</v>
      </c>
      <c r="M15" s="11">
        <f t="shared" si="10"/>
        <v>0.38936020747682154</v>
      </c>
      <c r="N15" s="35" t="str">
        <f t="shared" si="2"/>
        <v>IoU 50</v>
      </c>
      <c r="O15" s="35" t="str">
        <f t="shared" si="11"/>
        <v>IoU 25</v>
      </c>
      <c r="Q15" s="11">
        <v>0.5470334036015887</v>
      </c>
      <c r="R15" s="11">
        <v>0.38304232131636351</v>
      </c>
      <c r="S15" s="11">
        <v>0.39141331335215224</v>
      </c>
      <c r="U15" s="11">
        <f t="shared" si="12"/>
        <v>0.4650378624589761</v>
      </c>
      <c r="V15" s="35" t="str">
        <f t="shared" si="4"/>
        <v>IoU 50</v>
      </c>
      <c r="W15" s="35" t="str">
        <f t="shared" si="13"/>
        <v>IoU 50</v>
      </c>
      <c r="Y15" s="11">
        <v>0</v>
      </c>
      <c r="Z15" s="11">
        <v>0.21196351634181204</v>
      </c>
      <c r="AA15" s="11">
        <v>0.54789738123078713</v>
      </c>
      <c r="AC15" s="11">
        <v>0.21196351634181204</v>
      </c>
      <c r="AD15" s="35" t="str">
        <f t="shared" si="18"/>
        <v>IoU 25</v>
      </c>
      <c r="AE15" s="35" t="str">
        <f t="shared" si="15"/>
        <v>IoU 75</v>
      </c>
      <c r="AG15" s="11">
        <v>0.61735427703403811</v>
      </c>
      <c r="AH15" s="11">
        <v>0.43586955674138433</v>
      </c>
      <c r="AI15" s="11">
        <v>0.20934649924674675</v>
      </c>
      <c r="AK15" s="11">
        <f t="shared" si="16"/>
        <v>0.52661191688771125</v>
      </c>
      <c r="AL15" s="35" t="str">
        <f t="shared" si="8"/>
        <v>IoU 75</v>
      </c>
      <c r="AM15" s="35" t="str">
        <f t="shared" si="17"/>
        <v>IoU 25</v>
      </c>
    </row>
    <row r="16" spans="1:39" x14ac:dyDescent="0.2">
      <c r="A16" s="11">
        <v>3.4046899604204791E-3</v>
      </c>
      <c r="C16" s="11">
        <v>0.32657408963733225</v>
      </c>
      <c r="E16" s="11" t="str">
        <f t="shared" si="0"/>
        <v>IoU 25</v>
      </c>
      <c r="G16" s="35" t="str">
        <f t="shared" si="1"/>
        <v>IoU 50</v>
      </c>
      <c r="I16" s="11">
        <v>0.54868149794645582</v>
      </c>
      <c r="J16" s="11">
        <v>0.2201501777749135</v>
      </c>
      <c r="K16" s="11">
        <v>0.25065998260269362</v>
      </c>
      <c r="M16" s="11">
        <f t="shared" si="10"/>
        <v>0.38441583786068467</v>
      </c>
      <c r="N16" s="35" t="str">
        <f t="shared" si="2"/>
        <v>IoU 50</v>
      </c>
      <c r="O16" s="35" t="str">
        <f t="shared" si="11"/>
        <v>IoU 50</v>
      </c>
      <c r="Q16" s="11">
        <v>7.2161423839355726E-2</v>
      </c>
      <c r="R16" s="11">
        <v>0.6971657419322338</v>
      </c>
      <c r="S16" s="11">
        <v>0.32047332219397107</v>
      </c>
      <c r="U16" s="11">
        <f t="shared" si="12"/>
        <v>0.38466358288579477</v>
      </c>
      <c r="V16" s="35" t="str">
        <f t="shared" si="4"/>
        <v>IoU 50</v>
      </c>
      <c r="W16" s="35" t="str">
        <f t="shared" si="13"/>
        <v>IoU 50</v>
      </c>
      <c r="Y16" s="11">
        <v>0.41668785526592245</v>
      </c>
      <c r="Z16" s="11">
        <v>0.78526049785377994</v>
      </c>
      <c r="AA16" s="11">
        <v>0.31407632201902236</v>
      </c>
      <c r="AC16" s="11">
        <f t="shared" si="14"/>
        <v>0.60097417655985119</v>
      </c>
      <c r="AD16" s="35" t="str">
        <f t="shared" si="18"/>
        <v>IoU 75</v>
      </c>
      <c r="AE16" s="35" t="str">
        <f t="shared" si="15"/>
        <v>IoU 50</v>
      </c>
      <c r="AG16" s="11">
        <v>0.36574654466512824</v>
      </c>
      <c r="AH16" s="11">
        <v>0.79072757639020241</v>
      </c>
      <c r="AI16" s="11">
        <v>0.15207695806985616</v>
      </c>
      <c r="AK16" s="11">
        <f t="shared" si="16"/>
        <v>0.57823706052766533</v>
      </c>
      <c r="AL16" s="35" t="str">
        <f t="shared" si="8"/>
        <v>IoU 75</v>
      </c>
      <c r="AM16" s="35" t="str">
        <f t="shared" si="17"/>
        <v>IoU 25</v>
      </c>
    </row>
    <row r="17" spans="1:39" x14ac:dyDescent="0.2">
      <c r="A17" s="11">
        <v>0.34238248269955313</v>
      </c>
      <c r="C17" s="11">
        <v>0.58348478583570884</v>
      </c>
      <c r="E17" s="11" t="str">
        <f t="shared" si="0"/>
        <v>IoU 50</v>
      </c>
      <c r="G17" s="35" t="str">
        <f t="shared" si="1"/>
        <v>IoU 75</v>
      </c>
      <c r="I17" s="11">
        <v>0.53322234007433389</v>
      </c>
      <c r="J17" s="11">
        <v>0.43836038474842309</v>
      </c>
      <c r="K17" s="11">
        <v>0.23557670378703643</v>
      </c>
      <c r="M17" s="11">
        <f t="shared" si="10"/>
        <v>0.48579136241137849</v>
      </c>
      <c r="N17" s="35" t="str">
        <f t="shared" si="2"/>
        <v>IoU 50</v>
      </c>
      <c r="O17" s="35" t="str">
        <f t="shared" si="11"/>
        <v>IoU 25</v>
      </c>
      <c r="Q17" s="11">
        <v>0.31725834102579914</v>
      </c>
      <c r="R17" s="11">
        <v>0.74216373990099505</v>
      </c>
      <c r="S17" s="11">
        <v>0.39241084555439831</v>
      </c>
      <c r="U17" s="11">
        <f t="shared" si="12"/>
        <v>0.52971104046339712</v>
      </c>
      <c r="V17" s="35" t="str">
        <f t="shared" si="4"/>
        <v>IoU 75</v>
      </c>
      <c r="W17" s="35" t="str">
        <f t="shared" si="13"/>
        <v>IoU 50</v>
      </c>
      <c r="Y17" s="11">
        <v>0.32998966206919528</v>
      </c>
      <c r="Z17" s="11">
        <v>0.63152564074950956</v>
      </c>
      <c r="AA17" s="11">
        <v>0.19868775534623784</v>
      </c>
      <c r="AC17" s="11">
        <f t="shared" si="14"/>
        <v>0.48075765140935245</v>
      </c>
      <c r="AD17" s="35" t="str">
        <f t="shared" si="18"/>
        <v>IoU 50</v>
      </c>
      <c r="AE17" s="35" t="str">
        <f t="shared" si="15"/>
        <v>IoU 25</v>
      </c>
      <c r="AG17" s="11">
        <v>0.23230632794714956</v>
      </c>
      <c r="AH17" s="11">
        <v>0.40701385519621824</v>
      </c>
      <c r="AI17" s="11">
        <v>0.25052921692174263</v>
      </c>
      <c r="AK17" s="11">
        <f t="shared" si="16"/>
        <v>0.3196600915716839</v>
      </c>
      <c r="AL17" s="35" t="str">
        <f t="shared" si="8"/>
        <v>IoU 50</v>
      </c>
      <c r="AM17" s="35" t="str">
        <f t="shared" si="17"/>
        <v>IoU 50</v>
      </c>
    </row>
    <row r="18" spans="1:39" x14ac:dyDescent="0.2">
      <c r="A18" s="11">
        <v>0.22475875889251162</v>
      </c>
      <c r="C18" s="11">
        <v>0.43337254852825341</v>
      </c>
      <c r="E18" s="11" t="str">
        <f t="shared" si="0"/>
        <v>IoU 25</v>
      </c>
      <c r="G18" s="35" t="str">
        <f t="shared" si="1"/>
        <v>IoU 50</v>
      </c>
      <c r="I18" s="11">
        <v>0.21987791469387796</v>
      </c>
      <c r="J18" s="11">
        <v>2.7847355237954913E-2</v>
      </c>
      <c r="K18" s="11">
        <v>0.40207643451104214</v>
      </c>
      <c r="M18" s="11">
        <f t="shared" si="10"/>
        <v>0.12386263496591644</v>
      </c>
      <c r="N18" s="35" t="str">
        <f t="shared" si="2"/>
        <v>IoU 25</v>
      </c>
      <c r="O18" s="35" t="str">
        <f t="shared" si="11"/>
        <v>IoU 50</v>
      </c>
      <c r="Q18" s="11">
        <v>0.49031791605733283</v>
      </c>
      <c r="R18" s="11">
        <v>0.33377661862842267</v>
      </c>
      <c r="S18" s="11">
        <v>0.42898254211938958</v>
      </c>
      <c r="U18" s="11">
        <f t="shared" si="12"/>
        <v>0.41204726734287778</v>
      </c>
      <c r="V18" s="35" t="str">
        <f t="shared" si="4"/>
        <v>IoU 50</v>
      </c>
      <c r="W18" s="35" t="str">
        <f t="shared" si="13"/>
        <v>IoU 50</v>
      </c>
      <c r="Y18" s="11">
        <v>0.19418230558632477</v>
      </c>
      <c r="Z18" s="11">
        <v>0.62792749139526449</v>
      </c>
      <c r="AA18" s="11">
        <v>0.20998209181957606</v>
      </c>
      <c r="AC18" s="11">
        <f t="shared" si="14"/>
        <v>0.41105489849079463</v>
      </c>
      <c r="AD18" s="35" t="str">
        <f t="shared" si="18"/>
        <v>IoU 50</v>
      </c>
      <c r="AE18" s="35" t="str">
        <f t="shared" si="15"/>
        <v>IoU 25</v>
      </c>
      <c r="AG18" s="11">
        <v>0.21536953057972791</v>
      </c>
      <c r="AH18" s="11">
        <v>0.45519292296728786</v>
      </c>
      <c r="AI18" s="11">
        <v>0.36687288320470302</v>
      </c>
      <c r="AK18" s="11">
        <f t="shared" si="16"/>
        <v>0.33528122677350791</v>
      </c>
      <c r="AL18" s="35" t="str">
        <f t="shared" si="8"/>
        <v>IoU 50</v>
      </c>
      <c r="AM18" s="35" t="str">
        <f t="shared" si="17"/>
        <v>IoU 50</v>
      </c>
    </row>
    <row r="19" spans="1:39" x14ac:dyDescent="0.2">
      <c r="A19" s="11">
        <v>0.60153437111828867</v>
      </c>
      <c r="C19" s="11">
        <v>0.10691102648433443</v>
      </c>
      <c r="E19" s="11" t="str">
        <f t="shared" si="0"/>
        <v>IoU 75</v>
      </c>
      <c r="G19" s="35" t="str">
        <f t="shared" si="1"/>
        <v>IoU 25</v>
      </c>
      <c r="I19" s="11">
        <v>0.2243114233613332</v>
      </c>
      <c r="J19" s="11">
        <v>0.61984187166320248</v>
      </c>
      <c r="K19" s="11">
        <v>0.37171230960391533</v>
      </c>
      <c r="M19" s="11">
        <f t="shared" si="10"/>
        <v>0.42207664751226781</v>
      </c>
      <c r="N19" s="35" t="str">
        <f t="shared" si="2"/>
        <v>IoU 50</v>
      </c>
      <c r="O19" s="35" t="str">
        <f t="shared" si="11"/>
        <v>IoU 50</v>
      </c>
      <c r="R19" s="11">
        <v>0.60292227749990257</v>
      </c>
      <c r="S19" s="11">
        <v>0.31825984277223007</v>
      </c>
      <c r="U19" s="11">
        <v>0.60292227749990257</v>
      </c>
      <c r="V19" s="35" t="str">
        <f t="shared" si="4"/>
        <v>IoU 75</v>
      </c>
      <c r="W19" s="35" t="str">
        <f t="shared" si="13"/>
        <v>IoU 50</v>
      </c>
      <c r="Y19" s="11">
        <v>0.25796292638936835</v>
      </c>
      <c r="Z19" s="11">
        <v>0.19630573536495124</v>
      </c>
      <c r="AA19" s="11">
        <v>0.51271013969879931</v>
      </c>
      <c r="AC19" s="11">
        <f t="shared" si="14"/>
        <v>0.22713433087715978</v>
      </c>
      <c r="AD19" s="35" t="str">
        <f t="shared" si="18"/>
        <v>IoU 25</v>
      </c>
      <c r="AE19" s="35" t="str">
        <f t="shared" si="15"/>
        <v>IoU 75</v>
      </c>
      <c r="AG19" s="11">
        <v>0.66971904320274356</v>
      </c>
      <c r="AH19" s="11">
        <v>0.4172258955553656</v>
      </c>
      <c r="AI19" s="11">
        <v>0.44806228433060574</v>
      </c>
      <c r="AK19" s="11">
        <f t="shared" si="16"/>
        <v>0.54347246937905458</v>
      </c>
      <c r="AL19" s="35" t="str">
        <f t="shared" si="8"/>
        <v>IoU 75</v>
      </c>
      <c r="AM19" s="35" t="str">
        <f t="shared" si="17"/>
        <v>IoU 50</v>
      </c>
    </row>
    <row r="20" spans="1:39" x14ac:dyDescent="0.2">
      <c r="A20" s="11">
        <v>0.24061707417553732</v>
      </c>
      <c r="C20" s="11">
        <v>0.37686142266691142</v>
      </c>
      <c r="E20" s="11" t="str">
        <f t="shared" si="0"/>
        <v>IoU 25</v>
      </c>
      <c r="G20" s="35" t="str">
        <f t="shared" ref="G20:G83" si="19">VLOOKUP(C20,IoU_Thresholds,2,TRUE)</f>
        <v>IoU 50</v>
      </c>
      <c r="I20" s="11">
        <v>0.61374065375718279</v>
      </c>
      <c r="J20" s="11">
        <v>0</v>
      </c>
      <c r="K20" s="11">
        <v>0.4302830341334371</v>
      </c>
      <c r="M20" s="11">
        <f t="shared" si="10"/>
        <v>0.30687032687859139</v>
      </c>
      <c r="N20" s="35" t="str">
        <f t="shared" si="2"/>
        <v>IoU 50</v>
      </c>
      <c r="O20" s="35" t="str">
        <f t="shared" si="11"/>
        <v>IoU 50</v>
      </c>
      <c r="Q20" s="11">
        <v>0.60941400346530206</v>
      </c>
      <c r="R20" s="11">
        <v>0.39432551510293357</v>
      </c>
      <c r="S20" s="11">
        <v>0.54708646262807292</v>
      </c>
      <c r="U20" s="11">
        <f t="shared" si="12"/>
        <v>0.50186975928411781</v>
      </c>
      <c r="V20" s="35" t="str">
        <f t="shared" si="4"/>
        <v>IoU 75</v>
      </c>
      <c r="W20" s="35" t="str">
        <f t="shared" si="13"/>
        <v>IoU 75</v>
      </c>
      <c r="Y20" s="11">
        <v>0.30166057667805862</v>
      </c>
      <c r="Z20" s="11">
        <v>0.83893267028783902</v>
      </c>
      <c r="AA20" s="11">
        <v>0.25899166949973068</v>
      </c>
      <c r="AC20" s="11">
        <f t="shared" si="14"/>
        <v>0.57029662348294885</v>
      </c>
      <c r="AD20" s="35" t="str">
        <f t="shared" si="18"/>
        <v>IoU 75</v>
      </c>
      <c r="AE20" s="35" t="str">
        <f t="shared" si="15"/>
        <v>IoU 50</v>
      </c>
      <c r="AG20" s="11">
        <v>0.61112462965148795</v>
      </c>
      <c r="AH20" s="11">
        <v>0.46181138717575498</v>
      </c>
      <c r="AI20" s="11">
        <v>0.19488023457236747</v>
      </c>
      <c r="AK20" s="11">
        <f t="shared" si="16"/>
        <v>0.53646800841362152</v>
      </c>
      <c r="AL20" s="35" t="str">
        <f t="shared" si="8"/>
        <v>IoU 75</v>
      </c>
      <c r="AM20" s="35" t="str">
        <f t="shared" si="17"/>
        <v>IoU 25</v>
      </c>
    </row>
    <row r="21" spans="1:39" x14ac:dyDescent="0.2">
      <c r="A21" s="11">
        <v>0.32434763907368819</v>
      </c>
      <c r="C21" s="11">
        <v>0.26346299701950343</v>
      </c>
      <c r="E21" s="11" t="str">
        <f t="shared" si="0"/>
        <v>IoU 50</v>
      </c>
      <c r="G21" s="35" t="str">
        <f t="shared" si="19"/>
        <v>IoU 50</v>
      </c>
      <c r="I21" s="11">
        <v>3.4066316732685203E-2</v>
      </c>
      <c r="J21" s="11">
        <v>0.2133815433301513</v>
      </c>
      <c r="K21" s="11">
        <v>0.28530465690845813</v>
      </c>
      <c r="M21" s="11">
        <f t="shared" si="10"/>
        <v>0.12372393003141825</v>
      </c>
      <c r="N21" s="35" t="str">
        <f t="shared" si="2"/>
        <v>IoU 25</v>
      </c>
      <c r="O21" s="35" t="str">
        <f t="shared" si="11"/>
        <v>IoU 50</v>
      </c>
      <c r="Q21" s="11">
        <v>0.56668281173288482</v>
      </c>
      <c r="R21" s="11">
        <v>0.26423112459828435</v>
      </c>
      <c r="S21" s="11">
        <v>0.46726885646456967</v>
      </c>
      <c r="U21" s="11">
        <f t="shared" si="12"/>
        <v>0.41545696816558458</v>
      </c>
      <c r="V21" s="35" t="str">
        <f t="shared" si="4"/>
        <v>IoU 50</v>
      </c>
      <c r="W21" s="35" t="str">
        <f t="shared" si="13"/>
        <v>IoU 50</v>
      </c>
      <c r="Y21" s="11">
        <v>0</v>
      </c>
      <c r="Z21" s="11">
        <v>0.61895545609994751</v>
      </c>
      <c r="AA21" s="11">
        <v>0.34722030556210215</v>
      </c>
      <c r="AC21" s="11">
        <f t="shared" si="14"/>
        <v>0.30947772804997375</v>
      </c>
      <c r="AD21" s="35" t="str">
        <f t="shared" si="18"/>
        <v>IoU 50</v>
      </c>
      <c r="AE21" s="35" t="str">
        <f t="shared" si="15"/>
        <v>IoU 50</v>
      </c>
      <c r="AG21" s="11">
        <v>0.22234031316556532</v>
      </c>
      <c r="AH21" s="11">
        <v>6.9940895018294397E-2</v>
      </c>
      <c r="AI21" s="11">
        <v>0.26020839979358501</v>
      </c>
      <c r="AK21" s="11">
        <f t="shared" si="16"/>
        <v>0.14614060409192986</v>
      </c>
      <c r="AL21" s="35" t="str">
        <f t="shared" si="8"/>
        <v>IoU 25</v>
      </c>
      <c r="AM21" s="35" t="str">
        <f t="shared" si="17"/>
        <v>IoU 50</v>
      </c>
    </row>
    <row r="22" spans="1:39" x14ac:dyDescent="0.2">
      <c r="A22" s="11">
        <v>0.10568080084642305</v>
      </c>
      <c r="C22" s="11">
        <v>0.37667501874803</v>
      </c>
      <c r="E22" s="11" t="str">
        <f t="shared" si="0"/>
        <v>IoU 25</v>
      </c>
      <c r="G22" s="35" t="str">
        <f t="shared" si="19"/>
        <v>IoU 50</v>
      </c>
      <c r="I22" s="11">
        <v>1.6256252404771066E-2</v>
      </c>
      <c r="J22" s="11">
        <v>0.40773644088516803</v>
      </c>
      <c r="K22" s="11">
        <v>0.28574920997144959</v>
      </c>
      <c r="M22" s="11">
        <f t="shared" si="10"/>
        <v>0.21199634664496955</v>
      </c>
      <c r="N22" s="35" t="str">
        <f t="shared" si="2"/>
        <v>IoU 25</v>
      </c>
      <c r="O22" s="35" t="str">
        <f t="shared" si="11"/>
        <v>IoU 50</v>
      </c>
      <c r="Q22" s="11">
        <v>0.43638090285451281</v>
      </c>
      <c r="R22" s="11">
        <v>0.75603624953236026</v>
      </c>
      <c r="S22" s="11">
        <v>0.25952757064628879</v>
      </c>
      <c r="U22" s="11">
        <f t="shared" si="12"/>
        <v>0.59620857619343659</v>
      </c>
      <c r="V22" s="35" t="str">
        <f t="shared" si="4"/>
        <v>IoU 75</v>
      </c>
      <c r="W22" s="35" t="str">
        <f t="shared" si="13"/>
        <v>IoU 50</v>
      </c>
      <c r="Y22" s="11">
        <v>0.40385014438294686</v>
      </c>
      <c r="Z22" s="11">
        <v>0.4226322059621872</v>
      </c>
      <c r="AA22" s="11">
        <v>0.46118818138437995</v>
      </c>
      <c r="AC22" s="11">
        <f t="shared" si="14"/>
        <v>0.41324117517256703</v>
      </c>
      <c r="AD22" s="35" t="str">
        <f t="shared" si="18"/>
        <v>IoU 50</v>
      </c>
      <c r="AE22" s="35" t="str">
        <f t="shared" si="15"/>
        <v>IoU 50</v>
      </c>
      <c r="AG22" s="11">
        <v>1.1431433163726684E-3</v>
      </c>
      <c r="AH22" s="11">
        <v>0.61099358241702673</v>
      </c>
      <c r="AI22" s="11">
        <v>0.42801800157918274</v>
      </c>
      <c r="AK22" s="11">
        <f t="shared" si="16"/>
        <v>0.30606836286669969</v>
      </c>
      <c r="AL22" s="35" t="str">
        <f t="shared" si="8"/>
        <v>IoU 50</v>
      </c>
      <c r="AM22" s="35" t="str">
        <f t="shared" si="17"/>
        <v>IoU 50</v>
      </c>
    </row>
    <row r="23" spans="1:39" x14ac:dyDescent="0.2">
      <c r="A23" s="11">
        <v>0.46203653982422344</v>
      </c>
      <c r="C23" s="11">
        <v>0.32772076792121363</v>
      </c>
      <c r="E23" s="11" t="str">
        <f t="shared" si="0"/>
        <v>IoU 50</v>
      </c>
      <c r="G23" s="35" t="str">
        <f t="shared" si="19"/>
        <v>IoU 50</v>
      </c>
      <c r="I23" s="11">
        <v>0.38147958528319226</v>
      </c>
      <c r="J23" s="11">
        <v>0.53311047046920501</v>
      </c>
      <c r="K23" s="11">
        <v>0.23163776343560638</v>
      </c>
      <c r="M23" s="11">
        <f t="shared" si="10"/>
        <v>0.45729502787619863</v>
      </c>
      <c r="N23" s="35" t="str">
        <f t="shared" si="2"/>
        <v>IoU 50</v>
      </c>
      <c r="O23" s="35" t="str">
        <f t="shared" si="11"/>
        <v>IoU 25</v>
      </c>
      <c r="Q23" s="11">
        <v>0.55596947607561076</v>
      </c>
      <c r="R23" s="11">
        <v>0.23145552780813458</v>
      </c>
      <c r="S23" s="11">
        <v>0.61892271708058078</v>
      </c>
      <c r="U23" s="11">
        <f t="shared" si="12"/>
        <v>0.39371250194187268</v>
      </c>
      <c r="V23" s="35" t="str">
        <f t="shared" si="4"/>
        <v>IoU 50</v>
      </c>
      <c r="W23" s="35" t="str">
        <f t="shared" si="13"/>
        <v>IoU 75</v>
      </c>
      <c r="Y23" s="11">
        <v>5.1003877909593903E-2</v>
      </c>
      <c r="Z23" s="11">
        <v>0.41521145469874465</v>
      </c>
      <c r="AA23" s="11">
        <v>0.22061396871365313</v>
      </c>
      <c r="AC23" s="11">
        <f t="shared" si="14"/>
        <v>0.23310766630416929</v>
      </c>
      <c r="AD23" s="35" t="str">
        <f t="shared" si="18"/>
        <v>IoU 25</v>
      </c>
      <c r="AE23" s="35" t="str">
        <f t="shared" si="15"/>
        <v>IoU 25</v>
      </c>
      <c r="AG23" s="11">
        <v>0.15406768059414597</v>
      </c>
      <c r="AH23" s="11">
        <v>0.74473068920150598</v>
      </c>
      <c r="AI23" s="11">
        <v>0.2005707796637578</v>
      </c>
      <c r="AK23" s="11">
        <f t="shared" si="16"/>
        <v>0.44939918489782599</v>
      </c>
      <c r="AL23" s="35" t="str">
        <f t="shared" si="8"/>
        <v>IoU 50</v>
      </c>
      <c r="AM23" s="35" t="str">
        <f t="shared" si="17"/>
        <v>IoU 25</v>
      </c>
    </row>
    <row r="24" spans="1:39" x14ac:dyDescent="0.2">
      <c r="A24" s="11">
        <v>0</v>
      </c>
      <c r="C24" s="11">
        <v>0.55880906732685309</v>
      </c>
      <c r="E24" s="11" t="str">
        <f t="shared" si="0"/>
        <v>IoU 25</v>
      </c>
      <c r="G24" s="35" t="str">
        <f t="shared" si="19"/>
        <v>IoU 75</v>
      </c>
      <c r="I24" s="11">
        <v>0.28199737008619513</v>
      </c>
      <c r="J24" s="11">
        <v>0.43709393139494324</v>
      </c>
      <c r="K24" s="11">
        <v>0.40905117073367625</v>
      </c>
      <c r="M24" s="11">
        <f t="shared" si="10"/>
        <v>0.35954565074056921</v>
      </c>
      <c r="N24" s="35" t="str">
        <f t="shared" si="2"/>
        <v>IoU 50</v>
      </c>
      <c r="O24" s="35" t="str">
        <f t="shared" si="11"/>
        <v>IoU 50</v>
      </c>
      <c r="Q24" s="11">
        <v>0.22850337635301152</v>
      </c>
      <c r="R24" s="11">
        <v>0.40941226685981841</v>
      </c>
      <c r="S24" s="11">
        <v>0.37910418320974371</v>
      </c>
      <c r="U24" s="11">
        <f t="shared" si="12"/>
        <v>0.31895782160641495</v>
      </c>
      <c r="V24" s="35" t="str">
        <f t="shared" si="4"/>
        <v>IoU 50</v>
      </c>
      <c r="W24" s="35" t="str">
        <f t="shared" si="13"/>
        <v>IoU 50</v>
      </c>
      <c r="Y24" s="11">
        <v>0.26515879522606312</v>
      </c>
      <c r="Z24" s="11">
        <v>0.79066095185798757</v>
      </c>
      <c r="AA24" s="11">
        <v>0.43319332911508984</v>
      </c>
      <c r="AC24" s="11">
        <f t="shared" si="14"/>
        <v>0.52790987354202534</v>
      </c>
      <c r="AD24" s="35" t="str">
        <f t="shared" si="18"/>
        <v>IoU 75</v>
      </c>
      <c r="AE24" s="35" t="str">
        <f t="shared" si="15"/>
        <v>IoU 50</v>
      </c>
      <c r="AG24" s="11">
        <v>0.14202651346999756</v>
      </c>
      <c r="AH24" s="11">
        <v>0.43710848135598784</v>
      </c>
      <c r="AI24" s="11">
        <v>0.27901961612517762</v>
      </c>
      <c r="AK24" s="11">
        <f t="shared" si="16"/>
        <v>0.2895674974129927</v>
      </c>
      <c r="AL24" s="35" t="str">
        <f t="shared" si="8"/>
        <v>IoU 50</v>
      </c>
      <c r="AM24" s="35" t="str">
        <f t="shared" si="17"/>
        <v>IoU 50</v>
      </c>
    </row>
    <row r="25" spans="1:39" x14ac:dyDescent="0.2">
      <c r="A25" s="11">
        <v>0.31902688288032105</v>
      </c>
      <c r="C25" s="11">
        <v>0.42539286876840171</v>
      </c>
      <c r="E25" s="11" t="str">
        <f t="shared" si="0"/>
        <v>IoU 50</v>
      </c>
      <c r="G25" s="35" t="str">
        <f t="shared" si="19"/>
        <v>IoU 50</v>
      </c>
      <c r="I25" s="11">
        <v>0.4101111571632553</v>
      </c>
      <c r="K25" s="11">
        <v>0.32252235802363166</v>
      </c>
      <c r="M25" s="11">
        <v>0.4101111571632553</v>
      </c>
      <c r="N25" s="35" t="str">
        <f t="shared" si="2"/>
        <v>IoU 50</v>
      </c>
      <c r="O25" s="35" t="str">
        <f t="shared" si="11"/>
        <v>IoU 50</v>
      </c>
      <c r="Q25" s="11">
        <v>0.53612828909596155</v>
      </c>
      <c r="R25" s="11">
        <v>0.43096654122935057</v>
      </c>
      <c r="S25" s="11">
        <v>0.48550214008962156</v>
      </c>
      <c r="U25" s="11">
        <f t="shared" si="12"/>
        <v>0.48354741516265609</v>
      </c>
      <c r="V25" s="35" t="str">
        <f t="shared" si="4"/>
        <v>IoU 50</v>
      </c>
      <c r="W25" s="35" t="str">
        <f t="shared" si="13"/>
        <v>IoU 50</v>
      </c>
      <c r="Z25" s="11">
        <v>0.28327241505690243</v>
      </c>
      <c r="AC25" s="11">
        <v>0.28327241505690243</v>
      </c>
      <c r="AD25" s="35" t="str">
        <f t="shared" si="18"/>
        <v>IoU 50</v>
      </c>
      <c r="AE25" s="35"/>
      <c r="AG25" s="11">
        <v>1.1293527264451909E-2</v>
      </c>
      <c r="AH25" s="11">
        <v>0.22866471247110412</v>
      </c>
      <c r="AI25" s="11">
        <v>0.42839633061515336</v>
      </c>
      <c r="AK25" s="11">
        <f t="shared" si="16"/>
        <v>0.11997911986777801</v>
      </c>
      <c r="AL25" s="35" t="str">
        <f t="shared" si="8"/>
        <v>IoU 25</v>
      </c>
      <c r="AM25" s="35" t="str">
        <f t="shared" si="17"/>
        <v>IoU 50</v>
      </c>
    </row>
    <row r="26" spans="1:39" x14ac:dyDescent="0.2">
      <c r="A26" s="11">
        <v>0.39518781140761872</v>
      </c>
      <c r="C26" s="11">
        <v>2.049250904081281E-2</v>
      </c>
      <c r="E26" s="11" t="str">
        <f t="shared" si="0"/>
        <v>IoU 50</v>
      </c>
      <c r="G26" s="35" t="str">
        <f t="shared" si="19"/>
        <v>IoU 25</v>
      </c>
      <c r="I26" s="11">
        <v>0.31046160797331973</v>
      </c>
      <c r="J26" s="11">
        <v>0.20771955704223888</v>
      </c>
      <c r="K26" s="11">
        <v>0.40385755571119814</v>
      </c>
      <c r="M26" s="11">
        <f t="shared" si="10"/>
        <v>0.25909058250777928</v>
      </c>
      <c r="N26" s="35" t="str">
        <f t="shared" si="2"/>
        <v>IoU 50</v>
      </c>
      <c r="O26" s="35" t="str">
        <f t="shared" si="11"/>
        <v>IoU 50</v>
      </c>
      <c r="Q26" s="11">
        <v>0.42797256092497815</v>
      </c>
      <c r="R26" s="11">
        <v>0.45726017392831431</v>
      </c>
      <c r="S26" s="11">
        <v>0.56767134891689264</v>
      </c>
      <c r="U26" s="11">
        <f t="shared" si="12"/>
        <v>0.44261636742664623</v>
      </c>
      <c r="V26" s="35" t="str">
        <f t="shared" si="4"/>
        <v>IoU 50</v>
      </c>
      <c r="W26" s="35" t="str">
        <f t="shared" si="13"/>
        <v>IoU 75</v>
      </c>
      <c r="Y26" s="11">
        <v>3.5022526858947203E-2</v>
      </c>
      <c r="AA26" s="11">
        <v>8.9636869652955989E-2</v>
      </c>
      <c r="AC26" s="11">
        <v>3.5022526858947203E-2</v>
      </c>
      <c r="AD26" s="35" t="str">
        <f t="shared" si="18"/>
        <v>IoU 25</v>
      </c>
      <c r="AE26" s="35" t="str">
        <f t="shared" si="15"/>
        <v>IoU 25</v>
      </c>
      <c r="AG26" s="11">
        <v>9.4949488641444873E-4</v>
      </c>
      <c r="AH26" s="11">
        <v>0.31881466927639013</v>
      </c>
      <c r="AI26" s="11">
        <v>0.49282626054766854</v>
      </c>
      <c r="AK26" s="11">
        <f t="shared" si="16"/>
        <v>0.15988208208140228</v>
      </c>
      <c r="AL26" s="35" t="str">
        <f t="shared" si="8"/>
        <v>IoU 25</v>
      </c>
      <c r="AM26" s="35" t="str">
        <f t="shared" si="17"/>
        <v>IoU 50</v>
      </c>
    </row>
    <row r="27" spans="1:39" x14ac:dyDescent="0.2">
      <c r="C27" s="11">
        <v>0.49450643159278018</v>
      </c>
      <c r="E27" s="11" t="str">
        <f t="shared" si="0"/>
        <v>IoU 25</v>
      </c>
      <c r="G27" s="35" t="str">
        <f t="shared" si="19"/>
        <v>IoU 50</v>
      </c>
      <c r="J27" s="11">
        <v>0.21840242105007113</v>
      </c>
      <c r="K27" s="11">
        <v>0.15840361575686168</v>
      </c>
      <c r="M27" s="11">
        <v>0.21840242105007113</v>
      </c>
      <c r="N27" s="35" t="str">
        <f t="shared" si="2"/>
        <v>IoU 25</v>
      </c>
      <c r="O27" s="35" t="str">
        <f t="shared" si="11"/>
        <v>IoU 25</v>
      </c>
      <c r="Q27" s="11">
        <v>0.41765624447503524</v>
      </c>
      <c r="R27" s="11">
        <v>0.28570163576918611</v>
      </c>
      <c r="S27" s="11">
        <v>0.50656789944705949</v>
      </c>
      <c r="U27" s="11">
        <f t="shared" si="12"/>
        <v>0.35167894012211065</v>
      </c>
      <c r="V27" s="35" t="str">
        <f t="shared" si="4"/>
        <v>IoU 50</v>
      </c>
      <c r="W27" s="35" t="str">
        <f t="shared" si="13"/>
        <v>IoU 75</v>
      </c>
      <c r="Y27" s="11">
        <v>0</v>
      </c>
      <c r="Z27" s="11">
        <v>0.36889773106058954</v>
      </c>
      <c r="AA27" s="11">
        <v>0.49836914089949436</v>
      </c>
      <c r="AC27" s="11">
        <f t="shared" si="14"/>
        <v>0.18444886553029477</v>
      </c>
      <c r="AD27" s="35" t="str">
        <f t="shared" si="18"/>
        <v>IoU 25</v>
      </c>
      <c r="AE27" s="35" t="str">
        <f t="shared" si="15"/>
        <v>IoU 50</v>
      </c>
      <c r="AG27" s="11">
        <v>0.60636415719119563</v>
      </c>
      <c r="AH27" s="11">
        <v>0.20000537721137818</v>
      </c>
      <c r="AI27" s="11">
        <v>0.12739390468054132</v>
      </c>
      <c r="AK27" s="11">
        <f t="shared" si="16"/>
        <v>0.40318476720128693</v>
      </c>
      <c r="AL27" s="35" t="str">
        <f t="shared" si="8"/>
        <v>IoU 50</v>
      </c>
      <c r="AM27" s="35" t="str">
        <f t="shared" si="17"/>
        <v>IoU 25</v>
      </c>
    </row>
    <row r="28" spans="1:39" x14ac:dyDescent="0.2">
      <c r="A28" s="11">
        <v>0.56128867838739283</v>
      </c>
      <c r="C28" s="11">
        <v>0.40256333761089558</v>
      </c>
      <c r="E28" s="11" t="str">
        <f t="shared" si="0"/>
        <v>IoU 75</v>
      </c>
      <c r="G28" s="35" t="str">
        <f t="shared" si="19"/>
        <v>IoU 50</v>
      </c>
      <c r="I28" s="11">
        <v>0.22371052246621623</v>
      </c>
      <c r="K28" s="11">
        <v>0.33124310647470784</v>
      </c>
      <c r="M28" s="11">
        <v>0.22371052246621623</v>
      </c>
      <c r="N28" s="35" t="str">
        <f t="shared" si="2"/>
        <v>IoU 25</v>
      </c>
      <c r="O28" s="35" t="str">
        <f t="shared" si="11"/>
        <v>IoU 50</v>
      </c>
      <c r="Q28" s="11">
        <v>0.42094966304138171</v>
      </c>
      <c r="R28" s="11">
        <v>0.44595360461030736</v>
      </c>
      <c r="S28" s="11">
        <v>0.51737535459099715</v>
      </c>
      <c r="U28" s="11">
        <f t="shared" si="12"/>
        <v>0.43345163382584451</v>
      </c>
      <c r="V28" s="35" t="str">
        <f t="shared" si="4"/>
        <v>IoU 50</v>
      </c>
      <c r="W28" s="35" t="str">
        <f t="shared" si="13"/>
        <v>IoU 75</v>
      </c>
      <c r="Z28" s="11">
        <v>8.1123166566204538E-2</v>
      </c>
      <c r="AA28" s="11">
        <v>0.48280029926476364</v>
      </c>
      <c r="AC28" s="11">
        <v>8.1123166566204538E-2</v>
      </c>
      <c r="AD28" s="35" t="str">
        <f t="shared" si="18"/>
        <v>IoU 25</v>
      </c>
      <c r="AE28" s="35" t="str">
        <f t="shared" si="15"/>
        <v>IoU 50</v>
      </c>
      <c r="AG28" s="11">
        <v>2.8286338363780777E-2</v>
      </c>
      <c r="AH28" s="11">
        <v>0.28600267121075673</v>
      </c>
      <c r="AI28" s="11">
        <v>0.37216926337794343</v>
      </c>
      <c r="AK28" s="11">
        <f t="shared" si="16"/>
        <v>0.15714450478726877</v>
      </c>
      <c r="AL28" s="35" t="str">
        <f t="shared" si="8"/>
        <v>IoU 25</v>
      </c>
      <c r="AM28" s="35" t="str">
        <f t="shared" si="17"/>
        <v>IoU 50</v>
      </c>
    </row>
    <row r="29" spans="1:39" x14ac:dyDescent="0.2">
      <c r="C29" s="11">
        <v>0.25413045427245451</v>
      </c>
      <c r="E29" s="11" t="str">
        <f t="shared" si="0"/>
        <v>IoU 25</v>
      </c>
      <c r="G29" s="35" t="str">
        <f t="shared" si="19"/>
        <v>IoU 50</v>
      </c>
      <c r="I29" s="11">
        <v>0.32417697283433922</v>
      </c>
      <c r="J29" s="11">
        <v>0.232368029124607</v>
      </c>
      <c r="K29" s="11">
        <v>0.46436392605073973</v>
      </c>
      <c r="M29" s="11">
        <f t="shared" si="10"/>
        <v>0.27827250097947309</v>
      </c>
      <c r="N29" s="35" t="str">
        <f t="shared" si="2"/>
        <v>IoU 50</v>
      </c>
      <c r="O29" s="35" t="str">
        <f t="shared" si="11"/>
        <v>IoU 50</v>
      </c>
      <c r="Q29" s="11">
        <v>0.57222104553864883</v>
      </c>
      <c r="R29" s="11">
        <v>0.82452796069270795</v>
      </c>
      <c r="S29" s="11">
        <v>0.45877698327060701</v>
      </c>
      <c r="U29" s="11">
        <f t="shared" si="12"/>
        <v>0.69837450311567839</v>
      </c>
      <c r="V29" s="35" t="str">
        <f t="shared" si="4"/>
        <v>IoU 75</v>
      </c>
      <c r="W29" s="35" t="str">
        <f t="shared" si="13"/>
        <v>IoU 50</v>
      </c>
      <c r="Z29" s="11">
        <v>0.76351155317375685</v>
      </c>
      <c r="AA29" s="11">
        <v>0.3593623870510686</v>
      </c>
      <c r="AC29" s="11">
        <v>0.76351155317375685</v>
      </c>
      <c r="AD29" s="35" t="str">
        <f t="shared" si="18"/>
        <v>IoU 100</v>
      </c>
      <c r="AE29" s="35" t="str">
        <f t="shared" si="15"/>
        <v>IoU 50</v>
      </c>
      <c r="AG29" s="11">
        <v>0.20746800908498161</v>
      </c>
      <c r="AH29" s="11">
        <v>0.36397215271638528</v>
      </c>
      <c r="AI29" s="11">
        <v>0.29166779004821075</v>
      </c>
      <c r="AK29" s="11">
        <f t="shared" si="16"/>
        <v>0.28572008090068346</v>
      </c>
      <c r="AL29" s="35" t="str">
        <f t="shared" si="8"/>
        <v>IoU 50</v>
      </c>
      <c r="AM29" s="35" t="str">
        <f t="shared" si="17"/>
        <v>IoU 50</v>
      </c>
    </row>
    <row r="30" spans="1:39" x14ac:dyDescent="0.2">
      <c r="C30" s="11">
        <v>0.44103983299629906</v>
      </c>
      <c r="E30" s="11" t="str">
        <f t="shared" si="0"/>
        <v>IoU 25</v>
      </c>
      <c r="G30" s="35" t="str">
        <f t="shared" si="19"/>
        <v>IoU 50</v>
      </c>
      <c r="I30" s="11">
        <v>0.17721193331691149</v>
      </c>
      <c r="J30" s="11">
        <v>0.41559198161016542</v>
      </c>
      <c r="K30" s="11">
        <v>0.54654885578639656</v>
      </c>
      <c r="M30" s="11">
        <f t="shared" si="10"/>
        <v>0.29640195746353848</v>
      </c>
      <c r="N30" s="35" t="str">
        <f t="shared" si="2"/>
        <v>IoU 50</v>
      </c>
      <c r="O30" s="35" t="str">
        <f t="shared" si="11"/>
        <v>IoU 75</v>
      </c>
      <c r="Q30" s="11">
        <v>0.4338872241179183</v>
      </c>
      <c r="R30" s="11">
        <v>0.41458116436198433</v>
      </c>
      <c r="S30" s="11">
        <v>0.39555927381551015</v>
      </c>
      <c r="U30" s="11">
        <f t="shared" si="12"/>
        <v>0.42423419423995135</v>
      </c>
      <c r="V30" s="35" t="str">
        <f t="shared" si="4"/>
        <v>IoU 50</v>
      </c>
      <c r="W30" s="35" t="str">
        <f t="shared" si="13"/>
        <v>IoU 50</v>
      </c>
      <c r="Y30" s="11">
        <v>0</v>
      </c>
      <c r="Z30" s="11">
        <v>0.37418421560465842</v>
      </c>
      <c r="AA30" s="11">
        <v>0.47878602367438372</v>
      </c>
      <c r="AC30" s="11">
        <f t="shared" si="14"/>
        <v>0.18709210780232921</v>
      </c>
      <c r="AD30" s="35" t="str">
        <f t="shared" si="18"/>
        <v>IoU 25</v>
      </c>
      <c r="AE30" s="35" t="str">
        <f t="shared" si="15"/>
        <v>IoU 50</v>
      </c>
      <c r="AG30" s="11">
        <v>0.38599054880882139</v>
      </c>
      <c r="AH30" s="11">
        <v>0</v>
      </c>
      <c r="AI30" s="11">
        <v>0.24158965313353969</v>
      </c>
      <c r="AK30" s="11">
        <f t="shared" si="16"/>
        <v>0.19299527440441069</v>
      </c>
      <c r="AL30" s="35" t="str">
        <f t="shared" si="8"/>
        <v>IoU 25</v>
      </c>
      <c r="AM30" s="35" t="str">
        <f t="shared" si="17"/>
        <v>IoU 25</v>
      </c>
    </row>
    <row r="31" spans="1:39" x14ac:dyDescent="0.2">
      <c r="A31" s="11">
        <v>0.18975158692332345</v>
      </c>
      <c r="C31" s="11">
        <v>0.26660047146135796</v>
      </c>
      <c r="E31" s="11" t="str">
        <f t="shared" si="0"/>
        <v>IoU 25</v>
      </c>
      <c r="G31" s="35" t="str">
        <f t="shared" si="19"/>
        <v>IoU 50</v>
      </c>
      <c r="I31" s="11">
        <v>0.52561866053386486</v>
      </c>
      <c r="J31" s="11">
        <v>0.41206967098105529</v>
      </c>
      <c r="K31" s="11">
        <v>0.22724354679744482</v>
      </c>
      <c r="M31" s="11">
        <f t="shared" si="10"/>
        <v>0.46884416575746007</v>
      </c>
      <c r="N31" s="35" t="str">
        <f t="shared" si="2"/>
        <v>IoU 50</v>
      </c>
      <c r="O31" s="35" t="str">
        <f t="shared" si="11"/>
        <v>IoU 25</v>
      </c>
      <c r="Q31" s="11">
        <v>0.59612186595042638</v>
      </c>
      <c r="R31" s="11">
        <v>0.72241352842228213</v>
      </c>
      <c r="S31" s="11">
        <v>0.38653369463052389</v>
      </c>
      <c r="U31" s="11">
        <f t="shared" si="12"/>
        <v>0.65926769718635425</v>
      </c>
      <c r="V31" s="35" t="str">
        <f t="shared" si="4"/>
        <v>IoU 75</v>
      </c>
      <c r="W31" s="35" t="str">
        <f t="shared" si="13"/>
        <v>IoU 50</v>
      </c>
      <c r="Y31" s="11">
        <v>0.44010389620473939</v>
      </c>
      <c r="Z31" s="11">
        <v>0.81675856684403958</v>
      </c>
      <c r="AA31" s="11">
        <v>0.17547635164412942</v>
      </c>
      <c r="AC31" s="11">
        <f t="shared" si="14"/>
        <v>0.62843123152438951</v>
      </c>
      <c r="AD31" s="35" t="str">
        <f t="shared" si="18"/>
        <v>IoU 75</v>
      </c>
      <c r="AE31" s="35" t="str">
        <f t="shared" si="15"/>
        <v>IoU 25</v>
      </c>
      <c r="AG31" s="11">
        <v>0</v>
      </c>
      <c r="AH31" s="11">
        <v>0.50052031053066381</v>
      </c>
      <c r="AI31" s="11">
        <v>0.29616670506835446</v>
      </c>
      <c r="AK31" s="11">
        <f t="shared" si="16"/>
        <v>0.25026015526533191</v>
      </c>
      <c r="AL31" s="35" t="str">
        <f t="shared" si="8"/>
        <v>IoU 50</v>
      </c>
      <c r="AM31" s="35" t="str">
        <f t="shared" si="17"/>
        <v>IoU 50</v>
      </c>
    </row>
    <row r="32" spans="1:39" x14ac:dyDescent="0.2">
      <c r="A32" s="11">
        <v>0.78015518641491355</v>
      </c>
      <c r="C32" s="11">
        <v>0.36256564426359006</v>
      </c>
      <c r="E32" s="11" t="str">
        <f t="shared" si="0"/>
        <v>IoU 100</v>
      </c>
      <c r="G32" s="35" t="str">
        <f t="shared" si="19"/>
        <v>IoU 50</v>
      </c>
      <c r="I32" s="11">
        <v>2.129757620331052E-2</v>
      </c>
      <c r="J32" s="11">
        <v>0.17338098419832518</v>
      </c>
      <c r="K32" s="11">
        <v>0.28972337627321632</v>
      </c>
      <c r="M32" s="11">
        <f t="shared" si="10"/>
        <v>9.7339280200817849E-2</v>
      </c>
      <c r="N32" s="35" t="str">
        <f t="shared" si="2"/>
        <v>IoU 25</v>
      </c>
      <c r="O32" s="35" t="str">
        <f t="shared" si="11"/>
        <v>IoU 50</v>
      </c>
      <c r="Q32" s="11">
        <v>0.58914940172650088</v>
      </c>
      <c r="R32" s="11">
        <v>0.44315109133815112</v>
      </c>
      <c r="S32" s="11">
        <v>0.39774642883225064</v>
      </c>
      <c r="U32" s="11">
        <f t="shared" si="12"/>
        <v>0.516150246532326</v>
      </c>
      <c r="V32" s="35" t="str">
        <f t="shared" si="4"/>
        <v>IoU 75</v>
      </c>
      <c r="W32" s="35" t="str">
        <f t="shared" si="13"/>
        <v>IoU 50</v>
      </c>
      <c r="Y32" s="11">
        <v>0</v>
      </c>
      <c r="Z32" s="11">
        <v>0.79920168340664743</v>
      </c>
      <c r="AA32" s="11">
        <v>0.22424628763258075</v>
      </c>
      <c r="AC32" s="11">
        <f t="shared" si="14"/>
        <v>0.39960084170332372</v>
      </c>
      <c r="AD32" s="35" t="str">
        <f t="shared" si="18"/>
        <v>IoU 50</v>
      </c>
      <c r="AE32" s="35" t="str">
        <f t="shared" si="15"/>
        <v>IoU 25</v>
      </c>
      <c r="AG32" s="11">
        <v>0.31148187474185374</v>
      </c>
      <c r="AH32" s="11">
        <v>0.55958766290506778</v>
      </c>
      <c r="AI32" s="11">
        <v>0.19037667944154299</v>
      </c>
      <c r="AK32" s="11">
        <f t="shared" si="16"/>
        <v>0.43553476882346076</v>
      </c>
      <c r="AL32" s="35" t="str">
        <f t="shared" si="8"/>
        <v>IoU 50</v>
      </c>
      <c r="AM32" s="35" t="str">
        <f t="shared" si="17"/>
        <v>IoU 25</v>
      </c>
    </row>
    <row r="33" spans="1:39" x14ac:dyDescent="0.2">
      <c r="A33" s="11">
        <v>0.18822025532970318</v>
      </c>
      <c r="C33" s="11">
        <v>0.31192479794399908</v>
      </c>
      <c r="E33" s="11" t="str">
        <f t="shared" si="0"/>
        <v>IoU 25</v>
      </c>
      <c r="G33" s="35" t="str">
        <f t="shared" si="19"/>
        <v>IoU 50</v>
      </c>
      <c r="I33" s="11">
        <v>0.10541268818464061</v>
      </c>
      <c r="J33" s="11">
        <v>0.22622729104928763</v>
      </c>
      <c r="K33" s="11">
        <v>0.32084869027752133</v>
      </c>
      <c r="M33" s="11">
        <f t="shared" si="10"/>
        <v>0.16581998961696412</v>
      </c>
      <c r="N33" s="35" t="str">
        <f t="shared" si="2"/>
        <v>IoU 25</v>
      </c>
      <c r="O33" s="35" t="str">
        <f t="shared" si="11"/>
        <v>IoU 50</v>
      </c>
      <c r="Q33" s="11">
        <v>0.52298329075182903</v>
      </c>
      <c r="R33" s="11">
        <v>0.58907263673911292</v>
      </c>
      <c r="S33" s="11">
        <v>0.58710309629376711</v>
      </c>
      <c r="U33" s="11">
        <f t="shared" si="12"/>
        <v>0.55602796374547103</v>
      </c>
      <c r="V33" s="35" t="str">
        <f t="shared" si="4"/>
        <v>IoU 75</v>
      </c>
      <c r="W33" s="35" t="str">
        <f t="shared" si="13"/>
        <v>IoU 75</v>
      </c>
      <c r="Y33" s="11">
        <v>0</v>
      </c>
      <c r="Z33" s="11">
        <v>0.56301848952977274</v>
      </c>
      <c r="AA33" s="11">
        <v>0.47383542435210418</v>
      </c>
      <c r="AC33" s="11">
        <f t="shared" si="14"/>
        <v>0.28150924476488637</v>
      </c>
      <c r="AD33" s="35" t="str">
        <f t="shared" si="18"/>
        <v>IoU 50</v>
      </c>
      <c r="AE33" s="35" t="str">
        <f t="shared" si="15"/>
        <v>IoU 50</v>
      </c>
      <c r="AG33" s="11">
        <v>0.39181521834080835</v>
      </c>
      <c r="AH33" s="11">
        <v>0.6995400688805411</v>
      </c>
      <c r="AI33" s="11">
        <v>0.14325956923244554</v>
      </c>
      <c r="AK33" s="11">
        <f t="shared" si="16"/>
        <v>0.54567764361067472</v>
      </c>
      <c r="AL33" s="35" t="str">
        <f t="shared" si="8"/>
        <v>IoU 75</v>
      </c>
      <c r="AM33" s="35" t="str">
        <f t="shared" si="17"/>
        <v>IoU 25</v>
      </c>
    </row>
    <row r="34" spans="1:39" x14ac:dyDescent="0.2">
      <c r="A34" s="11">
        <v>0.64233135496496441</v>
      </c>
      <c r="C34" s="11">
        <v>0.49392824303719374</v>
      </c>
      <c r="E34" s="11" t="str">
        <f t="shared" si="0"/>
        <v>IoU 75</v>
      </c>
      <c r="G34" s="35" t="str">
        <f t="shared" si="19"/>
        <v>IoU 50</v>
      </c>
      <c r="I34" s="11">
        <v>0</v>
      </c>
      <c r="J34" s="11">
        <v>0.43321751430847943</v>
      </c>
      <c r="K34" s="11">
        <v>0.54971799445866587</v>
      </c>
      <c r="M34" s="11">
        <f t="shared" si="10"/>
        <v>0.21660875715423972</v>
      </c>
      <c r="N34" s="35" t="str">
        <f t="shared" si="2"/>
        <v>IoU 25</v>
      </c>
      <c r="O34" s="35" t="str">
        <f t="shared" si="11"/>
        <v>IoU 75</v>
      </c>
      <c r="Q34" s="11">
        <v>0.230739560458012</v>
      </c>
      <c r="R34" s="11">
        <v>0.40705432997239588</v>
      </c>
      <c r="S34" s="11">
        <v>0.30748926362015572</v>
      </c>
      <c r="U34" s="11">
        <f t="shared" si="12"/>
        <v>0.31889694521520395</v>
      </c>
      <c r="V34" s="35" t="str">
        <f t="shared" si="4"/>
        <v>IoU 50</v>
      </c>
      <c r="W34" s="35" t="str">
        <f t="shared" si="13"/>
        <v>IoU 50</v>
      </c>
      <c r="Y34" s="11">
        <v>0.3195401425287529</v>
      </c>
      <c r="AA34" s="11">
        <v>0.43316851482234697</v>
      </c>
      <c r="AC34" s="11">
        <v>0.3195401425287529</v>
      </c>
      <c r="AD34" s="35" t="str">
        <f t="shared" si="18"/>
        <v>IoU 50</v>
      </c>
      <c r="AE34" s="35" t="str">
        <f t="shared" si="15"/>
        <v>IoU 50</v>
      </c>
      <c r="AG34" s="11">
        <v>0.34179958578439551</v>
      </c>
      <c r="AH34" s="11">
        <v>0.36932941765188154</v>
      </c>
      <c r="AI34" s="11">
        <v>0.31875937298549351</v>
      </c>
      <c r="AK34" s="11">
        <f t="shared" si="16"/>
        <v>0.35556450171813853</v>
      </c>
      <c r="AL34" s="35" t="str">
        <f t="shared" si="8"/>
        <v>IoU 50</v>
      </c>
      <c r="AM34" s="35" t="str">
        <f t="shared" si="17"/>
        <v>IoU 50</v>
      </c>
    </row>
    <row r="35" spans="1:39" x14ac:dyDescent="0.2">
      <c r="A35" s="11">
        <v>0.44824558774856788</v>
      </c>
      <c r="C35" s="11">
        <v>0.47272159747753678</v>
      </c>
      <c r="E35" s="11" t="str">
        <f t="shared" si="0"/>
        <v>IoU 50</v>
      </c>
      <c r="G35" s="35" t="str">
        <f t="shared" si="19"/>
        <v>IoU 50</v>
      </c>
      <c r="I35" s="11">
        <v>0.29717236861380764</v>
      </c>
      <c r="K35" s="11">
        <v>0.51962448119640126</v>
      </c>
      <c r="M35" s="11">
        <v>0.29717236861380764</v>
      </c>
      <c r="N35" s="35" t="str">
        <f t="shared" si="2"/>
        <v>IoU 50</v>
      </c>
      <c r="O35" s="35" t="str">
        <f t="shared" si="11"/>
        <v>IoU 75</v>
      </c>
      <c r="Q35" s="11">
        <v>0.38703606404045382</v>
      </c>
      <c r="R35" s="11">
        <v>0.82188527513694098</v>
      </c>
      <c r="S35" s="11">
        <v>0.43282897436154771</v>
      </c>
      <c r="U35" s="11">
        <f t="shared" si="12"/>
        <v>0.60446066958869737</v>
      </c>
      <c r="V35" s="35" t="str">
        <f t="shared" si="4"/>
        <v>IoU 75</v>
      </c>
      <c r="W35" s="35" t="str">
        <f t="shared" si="13"/>
        <v>IoU 50</v>
      </c>
      <c r="Z35" s="11">
        <v>0.40330416127602065</v>
      </c>
      <c r="AA35" s="11">
        <v>0.27016397145789783</v>
      </c>
      <c r="AC35" s="11">
        <v>0.40330416127602065</v>
      </c>
      <c r="AD35" s="35" t="str">
        <f t="shared" si="18"/>
        <v>IoU 50</v>
      </c>
      <c r="AE35" s="35" t="str">
        <f t="shared" si="15"/>
        <v>IoU 50</v>
      </c>
      <c r="AG35" s="11">
        <v>3.4843867880142224E-2</v>
      </c>
      <c r="AH35" s="11">
        <v>0</v>
      </c>
      <c r="AI35" s="11">
        <v>0.387433288573241</v>
      </c>
      <c r="AK35" s="11">
        <f t="shared" si="16"/>
        <v>1.7421933940071112E-2</v>
      </c>
      <c r="AL35" s="35" t="str">
        <f t="shared" si="8"/>
        <v>IoU 25</v>
      </c>
      <c r="AM35" s="35" t="str">
        <f t="shared" si="17"/>
        <v>IoU 50</v>
      </c>
    </row>
    <row r="36" spans="1:39" x14ac:dyDescent="0.2">
      <c r="C36" s="11">
        <v>0.50212708407117446</v>
      </c>
      <c r="E36" s="11" t="str">
        <f t="shared" si="0"/>
        <v>IoU 25</v>
      </c>
      <c r="G36" s="35" t="str">
        <f t="shared" si="19"/>
        <v>IoU 75</v>
      </c>
      <c r="I36" s="11">
        <v>0.36111254587747266</v>
      </c>
      <c r="J36" s="11">
        <v>0.56997878087264664</v>
      </c>
      <c r="K36" s="11">
        <v>0.25092169555668276</v>
      </c>
      <c r="M36" s="11">
        <f t="shared" si="10"/>
        <v>0.46554566337505965</v>
      </c>
      <c r="N36" s="35" t="str">
        <f t="shared" si="2"/>
        <v>IoU 50</v>
      </c>
      <c r="O36" s="35" t="str">
        <f t="shared" si="11"/>
        <v>IoU 50</v>
      </c>
      <c r="Q36" s="11">
        <v>0.57678920616939711</v>
      </c>
      <c r="R36" s="11">
        <v>0.42441330888354067</v>
      </c>
      <c r="S36" s="11">
        <v>0.51701208502374341</v>
      </c>
      <c r="U36" s="11">
        <f t="shared" si="12"/>
        <v>0.50060125752646889</v>
      </c>
      <c r="V36" s="35" t="str">
        <f t="shared" si="4"/>
        <v>IoU 75</v>
      </c>
      <c r="W36" s="35" t="str">
        <f t="shared" si="13"/>
        <v>IoU 75</v>
      </c>
      <c r="Y36" s="11">
        <v>0.13042541948938069</v>
      </c>
      <c r="Z36" s="11">
        <v>0.37725795331429135</v>
      </c>
      <c r="AA36" s="11">
        <v>0.59174020697569796</v>
      </c>
      <c r="AC36" s="11">
        <f t="shared" si="14"/>
        <v>0.25384168640183602</v>
      </c>
      <c r="AD36" s="35" t="str">
        <f t="shared" si="18"/>
        <v>IoU 50</v>
      </c>
      <c r="AE36" s="35" t="str">
        <f t="shared" si="15"/>
        <v>IoU 75</v>
      </c>
      <c r="AG36" s="11">
        <v>0.35586400426653025</v>
      </c>
      <c r="AH36" s="11">
        <v>0.64116322639495116</v>
      </c>
      <c r="AI36" s="11">
        <v>0.56999517284153678</v>
      </c>
      <c r="AK36" s="11">
        <f t="shared" si="16"/>
        <v>0.49851361533074068</v>
      </c>
      <c r="AL36" s="35" t="str">
        <f t="shared" si="8"/>
        <v>IoU 50</v>
      </c>
      <c r="AM36" s="35" t="str">
        <f t="shared" si="17"/>
        <v>IoU 75</v>
      </c>
    </row>
    <row r="37" spans="1:39" x14ac:dyDescent="0.2">
      <c r="A37" s="11">
        <v>0.4336709602144021</v>
      </c>
      <c r="C37" s="11">
        <v>0.50753972774069633</v>
      </c>
      <c r="E37" s="11" t="str">
        <f t="shared" si="0"/>
        <v>IoU 50</v>
      </c>
      <c r="G37" s="35" t="str">
        <f t="shared" si="19"/>
        <v>IoU 75</v>
      </c>
      <c r="K37" s="11">
        <v>0.24457624360772584</v>
      </c>
      <c r="N37" s="35"/>
      <c r="O37" s="35" t="str">
        <f t="shared" si="11"/>
        <v>IoU 25</v>
      </c>
      <c r="Q37" s="11">
        <v>0.2120315727346643</v>
      </c>
      <c r="R37" s="11">
        <v>0.6223175695322174</v>
      </c>
      <c r="S37" s="11">
        <v>0.41130908377137076</v>
      </c>
      <c r="U37" s="11">
        <f t="shared" si="12"/>
        <v>0.41717457113344086</v>
      </c>
      <c r="V37" s="35" t="str">
        <f t="shared" si="4"/>
        <v>IoU 50</v>
      </c>
      <c r="W37" s="35" t="str">
        <f t="shared" si="13"/>
        <v>IoU 50</v>
      </c>
      <c r="Y37" s="11">
        <v>6.6254678601359612E-2</v>
      </c>
      <c r="Z37" s="11">
        <v>0.47870186948880405</v>
      </c>
      <c r="AA37" s="11">
        <v>0.42395417866864948</v>
      </c>
      <c r="AC37" s="11">
        <f t="shared" si="14"/>
        <v>0.27247827404508185</v>
      </c>
      <c r="AD37" s="35" t="str">
        <f t="shared" si="18"/>
        <v>IoU 50</v>
      </c>
      <c r="AE37" s="35" t="str">
        <f t="shared" si="15"/>
        <v>IoU 50</v>
      </c>
      <c r="AG37" s="11">
        <v>0.23242174753914052</v>
      </c>
      <c r="AH37" s="11">
        <v>0.2597760962670454</v>
      </c>
      <c r="AI37" s="11">
        <v>0.21929314497747121</v>
      </c>
      <c r="AK37" s="11">
        <f t="shared" si="16"/>
        <v>0.24609892190309296</v>
      </c>
      <c r="AL37" s="35" t="str">
        <f t="shared" si="8"/>
        <v>IoU 25</v>
      </c>
      <c r="AM37" s="35" t="str">
        <f t="shared" si="17"/>
        <v>IoU 25</v>
      </c>
    </row>
    <row r="38" spans="1:39" x14ac:dyDescent="0.2">
      <c r="A38" s="11">
        <v>0.52636167917124654</v>
      </c>
      <c r="C38" s="11">
        <v>0.45925869079267895</v>
      </c>
      <c r="E38" s="11" t="str">
        <f t="shared" si="0"/>
        <v>IoU 75</v>
      </c>
      <c r="G38" s="35" t="str">
        <f t="shared" si="19"/>
        <v>IoU 50</v>
      </c>
      <c r="J38" s="11">
        <v>0.35120258197009735</v>
      </c>
      <c r="K38" s="11">
        <v>0.15823956913933457</v>
      </c>
      <c r="M38" s="11">
        <v>0.35120258197009735</v>
      </c>
      <c r="N38" s="35" t="str">
        <f t="shared" ref="N38:N48" si="20">VLOOKUP(M38,IoU_Thresholds,2,TRUE)</f>
        <v>IoU 50</v>
      </c>
      <c r="O38" s="35" t="str">
        <f t="shared" si="11"/>
        <v>IoU 25</v>
      </c>
      <c r="Q38" s="11">
        <v>0</v>
      </c>
      <c r="R38" s="11">
        <v>0.26067388804305802</v>
      </c>
      <c r="S38" s="11">
        <v>0.31957983619806418</v>
      </c>
      <c r="U38" s="11">
        <f t="shared" si="12"/>
        <v>0.13033694402152901</v>
      </c>
      <c r="V38" s="35" t="str">
        <f t="shared" si="4"/>
        <v>IoU 25</v>
      </c>
      <c r="W38" s="35" t="str">
        <f t="shared" si="13"/>
        <v>IoU 50</v>
      </c>
      <c r="Z38" s="11">
        <v>0.57400929223387598</v>
      </c>
      <c r="AA38" s="11">
        <v>0.20912751605562219</v>
      </c>
      <c r="AC38" s="11">
        <v>0.57400929223387598</v>
      </c>
      <c r="AD38" s="35" t="str">
        <f t="shared" si="18"/>
        <v>IoU 75</v>
      </c>
      <c r="AE38" s="35" t="str">
        <f t="shared" si="15"/>
        <v>IoU 25</v>
      </c>
      <c r="AG38" s="11">
        <v>0.20740329959794815</v>
      </c>
      <c r="AH38" s="11">
        <v>0.42126533875870698</v>
      </c>
      <c r="AI38" s="11">
        <v>0.31572461671553043</v>
      </c>
      <c r="AK38" s="11">
        <f t="shared" si="16"/>
        <v>0.31433431917832755</v>
      </c>
      <c r="AL38" s="35" t="str">
        <f t="shared" si="8"/>
        <v>IoU 50</v>
      </c>
      <c r="AM38" s="35" t="str">
        <f t="shared" si="17"/>
        <v>IoU 50</v>
      </c>
    </row>
    <row r="39" spans="1:39" x14ac:dyDescent="0.2">
      <c r="A39" s="11">
        <v>0.76441708304335432</v>
      </c>
      <c r="E39" s="11" t="str">
        <f t="shared" si="0"/>
        <v>IoU 100</v>
      </c>
      <c r="G39" s="35" t="str">
        <f t="shared" si="19"/>
        <v>IoU 25</v>
      </c>
      <c r="I39" s="11">
        <v>0.20403495598464977</v>
      </c>
      <c r="J39" s="11">
        <v>0</v>
      </c>
      <c r="M39" s="11">
        <f t="shared" si="10"/>
        <v>0.10201747799232488</v>
      </c>
      <c r="N39" s="35" t="str">
        <f t="shared" si="20"/>
        <v>IoU 25</v>
      </c>
      <c r="O39" s="35"/>
      <c r="Q39" s="11">
        <v>0.4398820103481445</v>
      </c>
      <c r="R39" s="11">
        <v>0.63908286182163487</v>
      </c>
      <c r="U39" s="11">
        <f t="shared" si="12"/>
        <v>0.53948243608488966</v>
      </c>
      <c r="V39" s="35" t="str">
        <f t="shared" si="4"/>
        <v>IoU 75</v>
      </c>
      <c r="W39" s="35"/>
      <c r="Y39" s="11">
        <v>0</v>
      </c>
      <c r="Z39" s="11">
        <v>0.72597458916298696</v>
      </c>
      <c r="AC39" s="11">
        <f t="shared" si="14"/>
        <v>0.36298729458149348</v>
      </c>
      <c r="AD39" s="35" t="str">
        <f t="shared" si="18"/>
        <v>IoU 50</v>
      </c>
      <c r="AE39" s="35"/>
      <c r="AG39" s="11">
        <v>0.34519537030306746</v>
      </c>
      <c r="AH39" s="11">
        <v>0.41740008597658468</v>
      </c>
      <c r="AI39" s="11">
        <v>0.26622296923159394</v>
      </c>
      <c r="AK39" s="11">
        <f t="shared" si="16"/>
        <v>0.3812977281398261</v>
      </c>
      <c r="AL39" s="35" t="str">
        <f t="shared" si="8"/>
        <v>IoU 50</v>
      </c>
      <c r="AM39" s="35" t="str">
        <f t="shared" si="17"/>
        <v>IoU 50</v>
      </c>
    </row>
    <row r="40" spans="1:39" x14ac:dyDescent="0.2">
      <c r="C40" s="11">
        <v>0.10918481016154781</v>
      </c>
      <c r="E40" s="11" t="str">
        <f t="shared" si="0"/>
        <v>IoU 25</v>
      </c>
      <c r="G40" s="35" t="str">
        <f t="shared" si="19"/>
        <v>IoU 25</v>
      </c>
      <c r="J40" s="11">
        <v>0.86631518828484144</v>
      </c>
      <c r="K40" s="11">
        <v>0.32858219319313825</v>
      </c>
      <c r="M40" s="11">
        <v>0.86631518828484144</v>
      </c>
      <c r="N40" s="35" t="str">
        <f t="shared" si="20"/>
        <v>IoU 100</v>
      </c>
      <c r="O40" s="35" t="str">
        <f t="shared" si="11"/>
        <v>IoU 50</v>
      </c>
      <c r="R40" s="11">
        <v>0.43967848308530777</v>
      </c>
      <c r="S40" s="11">
        <v>0.51557731122550265</v>
      </c>
      <c r="U40" s="11">
        <v>0.43967848308530777</v>
      </c>
      <c r="V40" s="35" t="str">
        <f t="shared" si="4"/>
        <v>IoU 50</v>
      </c>
      <c r="W40" s="35" t="str">
        <f t="shared" si="13"/>
        <v>IoU 75</v>
      </c>
      <c r="Y40" s="11">
        <v>8.9072543617998157E-2</v>
      </c>
      <c r="Z40" s="11">
        <v>0.44152035944699036</v>
      </c>
      <c r="AA40" s="11">
        <v>0.42849352641003302</v>
      </c>
      <c r="AC40" s="11">
        <f t="shared" si="14"/>
        <v>0.26529645153249426</v>
      </c>
      <c r="AD40" s="35" t="str">
        <f t="shared" si="18"/>
        <v>IoU 50</v>
      </c>
      <c r="AE40" s="35" t="str">
        <f t="shared" si="15"/>
        <v>IoU 50</v>
      </c>
      <c r="AG40" s="11">
        <v>0.16127667896915371</v>
      </c>
      <c r="AH40" s="11">
        <v>0.65332810230352201</v>
      </c>
      <c r="AI40" s="11">
        <v>0.26268239706880486</v>
      </c>
      <c r="AK40" s="11">
        <f t="shared" si="16"/>
        <v>0.40730239063633789</v>
      </c>
      <c r="AL40" s="35" t="str">
        <f t="shared" si="8"/>
        <v>IoU 50</v>
      </c>
      <c r="AM40" s="35" t="str">
        <f t="shared" si="17"/>
        <v>IoU 50</v>
      </c>
    </row>
    <row r="41" spans="1:39" x14ac:dyDescent="0.2">
      <c r="A41" s="11">
        <v>0.11694439493235949</v>
      </c>
      <c r="E41" s="11" t="str">
        <f t="shared" si="0"/>
        <v>IoU 25</v>
      </c>
      <c r="G41" s="35" t="str">
        <f t="shared" si="19"/>
        <v>IoU 25</v>
      </c>
      <c r="I41" s="11">
        <v>0.16444298210998298</v>
      </c>
      <c r="J41" s="11">
        <v>0.24285076937014863</v>
      </c>
      <c r="M41" s="11">
        <f t="shared" si="10"/>
        <v>0.20364687574006579</v>
      </c>
      <c r="N41" s="35" t="str">
        <f t="shared" si="20"/>
        <v>IoU 25</v>
      </c>
      <c r="O41" s="35"/>
      <c r="Q41" s="11">
        <v>0.53701117254829256</v>
      </c>
      <c r="U41" s="11">
        <v>0.53701117254829256</v>
      </c>
      <c r="V41" s="35" t="str">
        <f t="shared" si="4"/>
        <v>IoU 75</v>
      </c>
      <c r="W41" s="35"/>
      <c r="AD41" s="35"/>
      <c r="AE41" s="35"/>
      <c r="AG41" s="11">
        <v>0</v>
      </c>
      <c r="AI41" s="11">
        <v>0.34668733803338059</v>
      </c>
      <c r="AK41" s="11">
        <v>0</v>
      </c>
      <c r="AL41" s="35" t="str">
        <f t="shared" si="8"/>
        <v>IoU 25</v>
      </c>
      <c r="AM41" s="35" t="str">
        <f t="shared" si="17"/>
        <v>IoU 50</v>
      </c>
    </row>
    <row r="42" spans="1:39" x14ac:dyDescent="0.2">
      <c r="A42" s="11">
        <v>0.2044686919482859</v>
      </c>
      <c r="C42" s="11">
        <v>0.42938972756107568</v>
      </c>
      <c r="E42" s="11" t="str">
        <f t="shared" si="0"/>
        <v>IoU 25</v>
      </c>
      <c r="G42" s="35" t="str">
        <f t="shared" si="19"/>
        <v>IoU 50</v>
      </c>
      <c r="I42" s="11">
        <v>0</v>
      </c>
      <c r="J42" s="11">
        <v>0.21692887214713052</v>
      </c>
      <c r="M42" s="11">
        <f t="shared" si="10"/>
        <v>0.10846443607356526</v>
      </c>
      <c r="N42" s="35" t="str">
        <f t="shared" si="20"/>
        <v>IoU 25</v>
      </c>
      <c r="O42" s="35"/>
      <c r="Q42" s="11">
        <v>0.19460577346460015</v>
      </c>
      <c r="R42" s="11">
        <v>0.28240226272216101</v>
      </c>
      <c r="S42" s="11">
        <v>0.37307393284578494</v>
      </c>
      <c r="U42" s="11">
        <f t="shared" si="12"/>
        <v>0.23850401809338057</v>
      </c>
      <c r="V42" s="35" t="str">
        <f t="shared" si="4"/>
        <v>IoU 25</v>
      </c>
      <c r="W42" s="35" t="str">
        <f t="shared" si="13"/>
        <v>IoU 50</v>
      </c>
      <c r="Y42" s="11">
        <v>0.25247962593561196</v>
      </c>
      <c r="Z42" s="11">
        <v>0.21755506674300179</v>
      </c>
      <c r="AA42" s="11">
        <v>0.31092878968186966</v>
      </c>
      <c r="AC42" s="11">
        <f t="shared" si="14"/>
        <v>0.23501734633930688</v>
      </c>
      <c r="AD42" s="35" t="str">
        <f>VLOOKUP(AC42,IoU_Thresholds,2,TRUE)</f>
        <v>IoU 25</v>
      </c>
      <c r="AE42" s="35" t="str">
        <f t="shared" si="15"/>
        <v>IoU 50</v>
      </c>
      <c r="AG42" s="11">
        <v>0</v>
      </c>
      <c r="AH42" s="11">
        <v>0.192549115913556</v>
      </c>
      <c r="AI42" s="11">
        <v>0.25209993953316828</v>
      </c>
      <c r="AK42" s="11">
        <f t="shared" si="16"/>
        <v>9.6274557956778001E-2</v>
      </c>
      <c r="AL42" s="35" t="str">
        <f t="shared" si="8"/>
        <v>IoU 25</v>
      </c>
      <c r="AM42" s="35" t="str">
        <f t="shared" si="17"/>
        <v>IoU 50</v>
      </c>
    </row>
    <row r="43" spans="1:39" x14ac:dyDescent="0.2">
      <c r="A43" s="11">
        <v>0.38849702587713719</v>
      </c>
      <c r="C43" s="11">
        <v>0.24996197937820225</v>
      </c>
      <c r="E43" s="11" t="str">
        <f t="shared" si="0"/>
        <v>IoU 50</v>
      </c>
      <c r="G43" s="35" t="str">
        <f t="shared" si="19"/>
        <v>IoU 25</v>
      </c>
      <c r="I43" s="11">
        <v>0.12698781686145824</v>
      </c>
      <c r="J43" s="11">
        <v>0.79622139923033031</v>
      </c>
      <c r="K43" s="11">
        <v>0.42596623144017942</v>
      </c>
      <c r="M43" s="11">
        <f t="shared" si="10"/>
        <v>0.46160460804589426</v>
      </c>
      <c r="N43" s="35" t="str">
        <f t="shared" si="20"/>
        <v>IoU 50</v>
      </c>
      <c r="O43" s="35" t="str">
        <f t="shared" si="11"/>
        <v>IoU 50</v>
      </c>
      <c r="Q43" s="11">
        <v>0.53923788084222657</v>
      </c>
      <c r="R43" s="11">
        <v>0.41649694405231236</v>
      </c>
      <c r="S43" s="11">
        <v>0.3076352562713896</v>
      </c>
      <c r="U43" s="11">
        <f t="shared" si="12"/>
        <v>0.47786741244726949</v>
      </c>
      <c r="V43" s="35" t="str">
        <f t="shared" si="4"/>
        <v>IoU 50</v>
      </c>
      <c r="W43" s="35" t="str">
        <f t="shared" si="13"/>
        <v>IoU 50</v>
      </c>
      <c r="Y43" s="11">
        <v>0.15006495350809193</v>
      </c>
      <c r="Z43" s="11">
        <v>0.8084966271832128</v>
      </c>
      <c r="AA43" s="11">
        <v>0.53176087730472399</v>
      </c>
      <c r="AC43" s="11">
        <f t="shared" si="14"/>
        <v>0.47928079034565235</v>
      </c>
      <c r="AD43" s="35" t="str">
        <f>VLOOKUP(AC43,IoU_Thresholds,2,TRUE)</f>
        <v>IoU 50</v>
      </c>
      <c r="AE43" s="35" t="str">
        <f t="shared" si="15"/>
        <v>IoU 75</v>
      </c>
      <c r="AG43" s="11">
        <v>0.27136966862534051</v>
      </c>
      <c r="AH43" s="11">
        <v>0.18817318293613775</v>
      </c>
      <c r="AI43" s="11">
        <v>0.42868844705201464</v>
      </c>
      <c r="AK43" s="11">
        <f t="shared" si="16"/>
        <v>0.22977142578073911</v>
      </c>
      <c r="AL43" s="35" t="str">
        <f t="shared" si="8"/>
        <v>IoU 25</v>
      </c>
      <c r="AM43" s="35" t="str">
        <f t="shared" si="17"/>
        <v>IoU 50</v>
      </c>
    </row>
    <row r="44" spans="1:39" x14ac:dyDescent="0.2">
      <c r="A44" s="11">
        <v>2.5610427758399119E-2</v>
      </c>
      <c r="C44" s="11">
        <v>0.31259506645727719</v>
      </c>
      <c r="E44" s="11" t="str">
        <f t="shared" si="0"/>
        <v>IoU 25</v>
      </c>
      <c r="G44" s="35" t="str">
        <f t="shared" si="19"/>
        <v>IoU 50</v>
      </c>
      <c r="J44" s="11">
        <v>0.26139088871348548</v>
      </c>
      <c r="K44" s="11">
        <v>0.33024464467917791</v>
      </c>
      <c r="M44" s="11">
        <v>0.26139088871348548</v>
      </c>
      <c r="N44" s="35" t="str">
        <f t="shared" si="20"/>
        <v>IoU 50</v>
      </c>
      <c r="O44" s="35" t="str">
        <f t="shared" si="11"/>
        <v>IoU 50</v>
      </c>
      <c r="Q44" s="11">
        <v>0.55976785550856389</v>
      </c>
      <c r="R44" s="11">
        <v>0.62206505335533879</v>
      </c>
      <c r="S44" s="11">
        <v>0.40483774342681872</v>
      </c>
      <c r="U44" s="11">
        <f t="shared" si="12"/>
        <v>0.5909164544319514</v>
      </c>
      <c r="V44" s="35" t="str">
        <f t="shared" si="4"/>
        <v>IoU 75</v>
      </c>
      <c r="W44" s="35" t="str">
        <f t="shared" si="13"/>
        <v>IoU 50</v>
      </c>
      <c r="Y44" s="11">
        <v>0.13366250046884467</v>
      </c>
      <c r="Z44" s="11">
        <v>0.17905646663492167</v>
      </c>
      <c r="AA44" s="11">
        <v>0.32078427438981755</v>
      </c>
      <c r="AC44" s="11">
        <f t="shared" si="14"/>
        <v>0.15635948355188317</v>
      </c>
      <c r="AD44" s="35" t="str">
        <f>VLOOKUP(AC44,IoU_Thresholds,2,TRUE)</f>
        <v>IoU 25</v>
      </c>
      <c r="AE44" s="35" t="str">
        <f t="shared" si="15"/>
        <v>IoU 50</v>
      </c>
      <c r="AG44" s="11">
        <v>0.42253017008278115</v>
      </c>
      <c r="AH44" s="11">
        <v>0.40851136858356929</v>
      </c>
      <c r="AI44" s="11">
        <v>0.44300929789244736</v>
      </c>
      <c r="AK44" s="11">
        <f t="shared" si="16"/>
        <v>0.41552076933317522</v>
      </c>
      <c r="AL44" s="35" t="str">
        <f t="shared" si="8"/>
        <v>IoU 50</v>
      </c>
      <c r="AM44" s="35" t="str">
        <f t="shared" si="17"/>
        <v>IoU 50</v>
      </c>
    </row>
    <row r="45" spans="1:39" x14ac:dyDescent="0.2">
      <c r="C45" s="11">
        <v>0.55104169811936243</v>
      </c>
      <c r="E45" s="11" t="str">
        <f t="shared" si="0"/>
        <v>IoU 25</v>
      </c>
      <c r="G45" s="35" t="str">
        <f t="shared" si="19"/>
        <v>IoU 75</v>
      </c>
      <c r="I45" s="11">
        <v>4.7098757693803256E-2</v>
      </c>
      <c r="K45" s="11">
        <v>0.43308171290355507</v>
      </c>
      <c r="M45" s="11">
        <v>4.7098757693803256E-2</v>
      </c>
      <c r="N45" s="35" t="str">
        <f t="shared" si="20"/>
        <v>IoU 25</v>
      </c>
      <c r="O45" s="35" t="str">
        <f t="shared" si="11"/>
        <v>IoU 50</v>
      </c>
      <c r="Q45" s="11">
        <v>0.56425059705157377</v>
      </c>
      <c r="R45" s="11">
        <v>0.42721093110703146</v>
      </c>
      <c r="S45" s="11">
        <v>0.45592645835299139</v>
      </c>
      <c r="U45" s="11">
        <f t="shared" si="12"/>
        <v>0.49573076407930261</v>
      </c>
      <c r="V45" s="35" t="str">
        <f t="shared" si="4"/>
        <v>IoU 50</v>
      </c>
      <c r="W45" s="35" t="str">
        <f t="shared" si="13"/>
        <v>IoU 50</v>
      </c>
      <c r="Z45" s="11">
        <v>0.67065747270517195</v>
      </c>
      <c r="AA45" s="11">
        <v>0.50416119482930399</v>
      </c>
      <c r="AC45" s="11">
        <v>0.67065747270517195</v>
      </c>
      <c r="AD45" s="35" t="str">
        <f>VLOOKUP(AC45,IoU_Thresholds,2,TRUE)</f>
        <v>IoU 75</v>
      </c>
      <c r="AE45" s="35" t="str">
        <f t="shared" si="15"/>
        <v>IoU 75</v>
      </c>
      <c r="AG45" s="11">
        <v>0</v>
      </c>
      <c r="AH45" s="11">
        <v>0.40765043237318099</v>
      </c>
      <c r="AI45" s="11">
        <v>0.17313173059812209</v>
      </c>
      <c r="AK45" s="11">
        <f t="shared" si="16"/>
        <v>0.2038252161865905</v>
      </c>
      <c r="AL45" s="35" t="str">
        <f t="shared" si="8"/>
        <v>IoU 25</v>
      </c>
      <c r="AM45" s="35" t="str">
        <f t="shared" si="17"/>
        <v>IoU 25</v>
      </c>
    </row>
    <row r="46" spans="1:39" x14ac:dyDescent="0.2">
      <c r="A46" s="11">
        <v>0.43914543931129169</v>
      </c>
      <c r="C46" s="11">
        <v>0.40235888877641179</v>
      </c>
      <c r="E46" s="11" t="str">
        <f t="shared" si="0"/>
        <v>IoU 50</v>
      </c>
      <c r="G46" s="35" t="str">
        <f t="shared" si="19"/>
        <v>IoU 50</v>
      </c>
      <c r="I46" s="11">
        <v>0.2165318977034105</v>
      </c>
      <c r="K46" s="11">
        <v>0.36124740070888051</v>
      </c>
      <c r="M46" s="11">
        <v>0.2165318977034105</v>
      </c>
      <c r="N46" s="35" t="str">
        <f t="shared" si="20"/>
        <v>IoU 25</v>
      </c>
      <c r="O46" s="35" t="str">
        <f t="shared" si="11"/>
        <v>IoU 50</v>
      </c>
      <c r="Q46" s="11">
        <v>0</v>
      </c>
      <c r="R46" s="11">
        <v>0.85068772414774207</v>
      </c>
      <c r="S46" s="11">
        <v>0.46971789906161349</v>
      </c>
      <c r="U46" s="11">
        <f t="shared" si="12"/>
        <v>0.42534386207387104</v>
      </c>
      <c r="V46" s="35" t="str">
        <f t="shared" si="4"/>
        <v>IoU 50</v>
      </c>
      <c r="W46" s="35" t="str">
        <f t="shared" si="13"/>
        <v>IoU 50</v>
      </c>
      <c r="Y46" s="11">
        <v>0.28258190414431844</v>
      </c>
      <c r="Z46" s="11">
        <v>0.2234310557421659</v>
      </c>
      <c r="AC46" s="11">
        <f t="shared" si="14"/>
        <v>0.25300647994324216</v>
      </c>
      <c r="AD46" s="35" t="str">
        <f>VLOOKUP(AC46,IoU_Thresholds,2,TRUE)</f>
        <v>IoU 50</v>
      </c>
      <c r="AE46" s="35" t="str">
        <f t="shared" si="15"/>
        <v>IoU 25</v>
      </c>
      <c r="AG46" s="11">
        <v>0.19857899294513703</v>
      </c>
      <c r="AH46" s="11">
        <v>0.27582972289591651</v>
      </c>
      <c r="AI46" s="11">
        <v>0.487479896837131</v>
      </c>
      <c r="AK46" s="11">
        <f t="shared" si="16"/>
        <v>0.23720435792052677</v>
      </c>
      <c r="AL46" s="35" t="str">
        <f t="shared" si="8"/>
        <v>IoU 25</v>
      </c>
      <c r="AM46" s="35" t="str">
        <f t="shared" si="17"/>
        <v>IoU 50</v>
      </c>
    </row>
    <row r="47" spans="1:39" x14ac:dyDescent="0.2">
      <c r="A47" s="11">
        <v>0.4040512519250401</v>
      </c>
      <c r="C47" s="11">
        <v>0.20607672239955044</v>
      </c>
      <c r="E47" s="11" t="str">
        <f t="shared" si="0"/>
        <v>IoU 50</v>
      </c>
      <c r="G47" s="35" t="str">
        <f t="shared" si="19"/>
        <v>IoU 25</v>
      </c>
      <c r="I47" s="11">
        <v>0.571709923277395</v>
      </c>
      <c r="J47" s="11">
        <v>0.18785069529153453</v>
      </c>
      <c r="K47" s="11">
        <v>0.37680819995566195</v>
      </c>
      <c r="M47" s="11">
        <f t="shared" si="10"/>
        <v>0.37978030928446477</v>
      </c>
      <c r="N47" s="35" t="str">
        <f t="shared" si="20"/>
        <v>IoU 50</v>
      </c>
      <c r="O47" s="35" t="str">
        <f t="shared" si="11"/>
        <v>IoU 50</v>
      </c>
      <c r="Q47" s="11">
        <v>0.30924683322733504</v>
      </c>
      <c r="R47" s="11">
        <v>0.4045134348293159</v>
      </c>
      <c r="S47" s="11">
        <v>0.50538455685825334</v>
      </c>
      <c r="U47" s="11">
        <f t="shared" si="12"/>
        <v>0.35688013402832547</v>
      </c>
      <c r="V47" s="35" t="str">
        <f t="shared" si="4"/>
        <v>IoU 50</v>
      </c>
      <c r="W47" s="35" t="str">
        <f t="shared" si="13"/>
        <v>IoU 75</v>
      </c>
      <c r="AD47" s="35"/>
      <c r="AE47" s="35"/>
      <c r="AG47" s="11">
        <v>0.30395922769808464</v>
      </c>
      <c r="AH47" s="11">
        <v>0</v>
      </c>
      <c r="AI47" s="11">
        <v>0.21772844531555133</v>
      </c>
      <c r="AK47" s="11">
        <f t="shared" si="16"/>
        <v>0.15197961384904232</v>
      </c>
      <c r="AL47" s="35" t="str">
        <f t="shared" si="8"/>
        <v>IoU 25</v>
      </c>
      <c r="AM47" s="35" t="str">
        <f t="shared" si="17"/>
        <v>IoU 25</v>
      </c>
    </row>
    <row r="48" spans="1:39" x14ac:dyDescent="0.2">
      <c r="A48" s="11">
        <v>0.69068856410230894</v>
      </c>
      <c r="C48" s="11">
        <v>0.41774000315989207</v>
      </c>
      <c r="E48" s="11" t="str">
        <f t="shared" si="0"/>
        <v>IoU 75</v>
      </c>
      <c r="G48" s="35" t="str">
        <f t="shared" si="19"/>
        <v>IoU 50</v>
      </c>
      <c r="I48" s="11">
        <v>0.60837141399239214</v>
      </c>
      <c r="J48" s="11">
        <v>0.31367410060096018</v>
      </c>
      <c r="K48" s="11">
        <v>0.13307165287486836</v>
      </c>
      <c r="M48" s="11">
        <f t="shared" si="10"/>
        <v>0.46102275729667619</v>
      </c>
      <c r="N48" s="35" t="str">
        <f t="shared" si="20"/>
        <v>IoU 50</v>
      </c>
      <c r="O48" s="35" t="str">
        <f t="shared" si="11"/>
        <v>IoU 25</v>
      </c>
      <c r="Q48" s="11">
        <v>0.19402253797158256</v>
      </c>
      <c r="R48" s="11">
        <v>2.3927258188339368E-2</v>
      </c>
      <c r="S48" s="11">
        <v>0.37215886568480616</v>
      </c>
      <c r="U48" s="11">
        <f t="shared" si="12"/>
        <v>0.10897489807996097</v>
      </c>
      <c r="V48" s="35" t="str">
        <f t="shared" si="4"/>
        <v>IoU 25</v>
      </c>
      <c r="W48" s="35" t="str">
        <f t="shared" si="13"/>
        <v>IoU 50</v>
      </c>
      <c r="Y48" s="11">
        <v>0</v>
      </c>
      <c r="Z48" s="11">
        <v>0.57149392473927552</v>
      </c>
      <c r="AA48" s="11">
        <v>0.23244046890771952</v>
      </c>
      <c r="AC48" s="11">
        <f t="shared" si="14"/>
        <v>0.28574696236963776</v>
      </c>
      <c r="AD48" s="35" t="str">
        <f>VLOOKUP(AC48,IoU_Thresholds,2,TRUE)</f>
        <v>IoU 50</v>
      </c>
      <c r="AE48" s="35" t="str">
        <f t="shared" si="15"/>
        <v>IoU 25</v>
      </c>
      <c r="AG48" s="11">
        <v>0.54229734725214807</v>
      </c>
      <c r="AH48" s="11">
        <v>0</v>
      </c>
      <c r="AI48" s="11">
        <v>0.21175489124712873</v>
      </c>
      <c r="AK48" s="11">
        <f t="shared" si="16"/>
        <v>0.27114867362607403</v>
      </c>
      <c r="AL48" s="35" t="str">
        <f t="shared" si="8"/>
        <v>IoU 50</v>
      </c>
      <c r="AM48" s="35" t="str">
        <f t="shared" si="17"/>
        <v>IoU 25</v>
      </c>
    </row>
    <row r="49" spans="1:39" x14ac:dyDescent="0.2">
      <c r="A49" s="11">
        <v>0.5574231889611917</v>
      </c>
      <c r="C49" s="11">
        <v>0.35240545963168068</v>
      </c>
      <c r="E49" s="11" t="str">
        <f t="shared" si="0"/>
        <v>IoU 75</v>
      </c>
      <c r="G49" s="35" t="str">
        <f t="shared" si="19"/>
        <v>IoU 50</v>
      </c>
      <c r="K49" s="11">
        <v>0.35116430339901233</v>
      </c>
      <c r="N49" s="35"/>
      <c r="O49" s="35" t="str">
        <f t="shared" si="11"/>
        <v>IoU 50</v>
      </c>
      <c r="Q49" s="11">
        <v>1.0710135379970296E-2</v>
      </c>
      <c r="R49" s="11">
        <v>0.75138133230174842</v>
      </c>
      <c r="S49" s="11">
        <v>0.56790415891113399</v>
      </c>
      <c r="U49" s="11">
        <f t="shared" si="12"/>
        <v>0.38104573384085938</v>
      </c>
      <c r="V49" s="35" t="str">
        <f t="shared" si="4"/>
        <v>IoU 50</v>
      </c>
      <c r="W49" s="35" t="str">
        <f t="shared" si="13"/>
        <v>IoU 75</v>
      </c>
      <c r="AA49" s="11">
        <v>0.35842061701758671</v>
      </c>
      <c r="AD49" s="35"/>
      <c r="AE49" s="35" t="str">
        <f t="shared" si="15"/>
        <v>IoU 50</v>
      </c>
      <c r="AG49" s="11">
        <v>0.1898018082443684</v>
      </c>
      <c r="AI49" s="11">
        <v>0.26896396264497691</v>
      </c>
      <c r="AK49" s="11">
        <v>0.1898018082443684</v>
      </c>
      <c r="AL49" s="35" t="str">
        <f t="shared" si="8"/>
        <v>IoU 25</v>
      </c>
      <c r="AM49" s="35" t="str">
        <f t="shared" si="17"/>
        <v>IoU 50</v>
      </c>
    </row>
    <row r="50" spans="1:39" x14ac:dyDescent="0.2">
      <c r="C50" s="11">
        <v>0.2108012320764322</v>
      </c>
      <c r="E50" s="11" t="str">
        <f t="shared" si="0"/>
        <v>IoU 25</v>
      </c>
      <c r="G50" s="35" t="str">
        <f t="shared" si="19"/>
        <v>IoU 25</v>
      </c>
      <c r="I50" s="11">
        <v>0.56505116056596238</v>
      </c>
      <c r="J50" s="11">
        <v>0.26543388356110098</v>
      </c>
      <c r="K50" s="11">
        <v>0.47779518767759688</v>
      </c>
      <c r="M50" s="11">
        <f t="shared" si="10"/>
        <v>0.41524252206353168</v>
      </c>
      <c r="N50" s="35" t="str">
        <f t="shared" ref="N50:N80" si="21">VLOOKUP(M50,IoU_Thresholds,2,TRUE)</f>
        <v>IoU 50</v>
      </c>
      <c r="O50" s="35" t="str">
        <f t="shared" si="11"/>
        <v>IoU 50</v>
      </c>
      <c r="Q50" s="11">
        <v>0.50426073944163585</v>
      </c>
      <c r="R50" s="11">
        <v>7.6343132285859094E-2</v>
      </c>
      <c r="S50" s="11">
        <v>0.3067312980640402</v>
      </c>
      <c r="U50" s="11">
        <f t="shared" si="12"/>
        <v>0.29030193586374747</v>
      </c>
      <c r="V50" s="35" t="str">
        <f t="shared" si="4"/>
        <v>IoU 50</v>
      </c>
      <c r="W50" s="35" t="str">
        <f t="shared" si="13"/>
        <v>IoU 50</v>
      </c>
      <c r="Y50" s="11">
        <v>0.23748601337237782</v>
      </c>
      <c r="Z50" s="11">
        <v>0.76670524733123213</v>
      </c>
      <c r="AA50" s="11">
        <v>0.38327824333083205</v>
      </c>
      <c r="AC50" s="11">
        <f t="shared" si="14"/>
        <v>0.50209563035180493</v>
      </c>
      <c r="AD50" s="35" t="str">
        <f t="shared" ref="AD50:AD58" si="22">VLOOKUP(AC50,IoU_Thresholds,2,TRUE)</f>
        <v>IoU 75</v>
      </c>
      <c r="AE50" s="35" t="str">
        <f t="shared" si="15"/>
        <v>IoU 50</v>
      </c>
      <c r="AG50" s="11">
        <v>0.50136566260766724</v>
      </c>
      <c r="AH50" s="11">
        <v>0.19806707934607193</v>
      </c>
      <c r="AI50" s="11">
        <v>0.40214361693998968</v>
      </c>
      <c r="AK50" s="11">
        <f t="shared" si="16"/>
        <v>0.34971637097686958</v>
      </c>
      <c r="AL50" s="35" t="str">
        <f t="shared" si="8"/>
        <v>IoU 50</v>
      </c>
      <c r="AM50" s="35" t="str">
        <f t="shared" si="17"/>
        <v>IoU 50</v>
      </c>
    </row>
    <row r="51" spans="1:39" x14ac:dyDescent="0.2">
      <c r="A51" s="11">
        <v>0.19256513232416847</v>
      </c>
      <c r="C51" s="11">
        <v>0.21260996313801817</v>
      </c>
      <c r="E51" s="11" t="str">
        <f t="shared" si="0"/>
        <v>IoU 25</v>
      </c>
      <c r="G51" s="35" t="str">
        <f t="shared" si="19"/>
        <v>IoU 25</v>
      </c>
      <c r="I51" s="11">
        <v>0.42614529804423473</v>
      </c>
      <c r="J51" s="11">
        <v>0.19845389990663989</v>
      </c>
      <c r="K51" s="11">
        <v>0.1531780520793859</v>
      </c>
      <c r="M51" s="11">
        <f t="shared" si="10"/>
        <v>0.3122995989754373</v>
      </c>
      <c r="N51" s="35" t="str">
        <f t="shared" si="21"/>
        <v>IoU 50</v>
      </c>
      <c r="O51" s="35" t="str">
        <f t="shared" si="11"/>
        <v>IoU 25</v>
      </c>
      <c r="Q51" s="11">
        <v>0.73071287374759641</v>
      </c>
      <c r="R51" s="11">
        <v>0.38921799444621769</v>
      </c>
      <c r="S51" s="11">
        <v>0.36902811464897645</v>
      </c>
      <c r="U51" s="11">
        <f t="shared" si="12"/>
        <v>0.55996543409690702</v>
      </c>
      <c r="V51" s="35" t="str">
        <f t="shared" si="4"/>
        <v>IoU 75</v>
      </c>
      <c r="W51" s="35" t="str">
        <f t="shared" si="13"/>
        <v>IoU 50</v>
      </c>
      <c r="Y51" s="11">
        <v>0.48889264142707178</v>
      </c>
      <c r="Z51" s="11">
        <v>0.41619135291733089</v>
      </c>
      <c r="AA51" s="11">
        <v>0.51836770590339487</v>
      </c>
      <c r="AC51" s="11">
        <f t="shared" si="14"/>
        <v>0.45254199717220134</v>
      </c>
      <c r="AD51" s="35" t="str">
        <f t="shared" si="22"/>
        <v>IoU 50</v>
      </c>
      <c r="AE51" s="35" t="str">
        <f t="shared" si="15"/>
        <v>IoU 75</v>
      </c>
      <c r="AG51" s="11">
        <v>0.18654121497238699</v>
      </c>
      <c r="AH51" s="11">
        <v>0</v>
      </c>
      <c r="AI51" s="11">
        <v>0.36879910939320193</v>
      </c>
      <c r="AK51" s="11">
        <f t="shared" si="16"/>
        <v>9.3270607486193494E-2</v>
      </c>
      <c r="AL51" s="35" t="str">
        <f t="shared" si="8"/>
        <v>IoU 25</v>
      </c>
      <c r="AM51" s="35" t="str">
        <f t="shared" si="17"/>
        <v>IoU 50</v>
      </c>
    </row>
    <row r="52" spans="1:39" x14ac:dyDescent="0.2">
      <c r="A52" s="11">
        <v>0.24066884688838874</v>
      </c>
      <c r="C52" s="11">
        <v>0.39783044231008358</v>
      </c>
      <c r="E52" s="11" t="str">
        <f t="shared" si="0"/>
        <v>IoU 25</v>
      </c>
      <c r="G52" s="35" t="str">
        <f t="shared" si="19"/>
        <v>IoU 50</v>
      </c>
      <c r="I52" s="11">
        <v>0.50478826909165375</v>
      </c>
      <c r="J52" s="11">
        <v>0.4632620488238961</v>
      </c>
      <c r="K52" s="11">
        <v>0.2049374668778231</v>
      </c>
      <c r="M52" s="11">
        <f t="shared" si="10"/>
        <v>0.48402515895777493</v>
      </c>
      <c r="N52" s="35" t="str">
        <f t="shared" si="21"/>
        <v>IoU 50</v>
      </c>
      <c r="O52" s="35" t="str">
        <f t="shared" si="11"/>
        <v>IoU 25</v>
      </c>
      <c r="Q52" s="11">
        <v>4.0433956557547751E-3</v>
      </c>
      <c r="R52" s="11">
        <v>0.78297154043418249</v>
      </c>
      <c r="S52" s="11">
        <v>0.53748027492840666</v>
      </c>
      <c r="U52" s="11">
        <f t="shared" si="12"/>
        <v>0.39350746804496861</v>
      </c>
      <c r="V52" s="35" t="str">
        <f t="shared" si="4"/>
        <v>IoU 50</v>
      </c>
      <c r="W52" s="35" t="str">
        <f t="shared" si="13"/>
        <v>IoU 75</v>
      </c>
      <c r="Y52" s="11">
        <v>0.3149346867867574</v>
      </c>
      <c r="Z52" s="11">
        <v>0.32653016325305628</v>
      </c>
      <c r="AA52" s="11">
        <v>0.25090850407077192</v>
      </c>
      <c r="AC52" s="11">
        <f t="shared" si="14"/>
        <v>0.32073242501990684</v>
      </c>
      <c r="AD52" s="35" t="str">
        <f t="shared" si="22"/>
        <v>IoU 50</v>
      </c>
      <c r="AE52" s="35" t="str">
        <f t="shared" si="15"/>
        <v>IoU 50</v>
      </c>
      <c r="AG52" s="11">
        <v>0.26380370580672791</v>
      </c>
      <c r="AH52" s="11">
        <v>0.10067733990147783</v>
      </c>
      <c r="AI52" s="11">
        <v>0.22527128716376399</v>
      </c>
      <c r="AK52" s="11">
        <f t="shared" si="16"/>
        <v>0.18224052285410286</v>
      </c>
      <c r="AL52" s="35" t="str">
        <f t="shared" si="8"/>
        <v>IoU 25</v>
      </c>
      <c r="AM52" s="35" t="str">
        <f t="shared" si="17"/>
        <v>IoU 25</v>
      </c>
    </row>
    <row r="53" spans="1:39" x14ac:dyDescent="0.2">
      <c r="C53" s="11">
        <v>0.43386461242825441</v>
      </c>
      <c r="E53" s="11" t="str">
        <f t="shared" si="0"/>
        <v>IoU 25</v>
      </c>
      <c r="G53" s="35" t="str">
        <f t="shared" si="19"/>
        <v>IoU 50</v>
      </c>
      <c r="J53" s="11">
        <v>0.26805136644407024</v>
      </c>
      <c r="K53" s="11">
        <v>0.28754346213197046</v>
      </c>
      <c r="M53" s="11">
        <v>0.26805136644407024</v>
      </c>
      <c r="N53" s="35" t="str">
        <f t="shared" si="21"/>
        <v>IoU 50</v>
      </c>
      <c r="O53" s="35" t="str">
        <f t="shared" si="11"/>
        <v>IoU 50</v>
      </c>
      <c r="Q53" s="11">
        <v>0.45304414702934565</v>
      </c>
      <c r="R53" s="11">
        <v>0.44256796462010245</v>
      </c>
      <c r="S53" s="11">
        <v>0.34803909258599591</v>
      </c>
      <c r="U53" s="11">
        <f t="shared" si="12"/>
        <v>0.44780605582472405</v>
      </c>
      <c r="V53" s="35" t="str">
        <f t="shared" si="4"/>
        <v>IoU 50</v>
      </c>
      <c r="W53" s="35" t="str">
        <f t="shared" si="13"/>
        <v>IoU 50</v>
      </c>
      <c r="Y53" s="11">
        <v>0.67553411034820909</v>
      </c>
      <c r="Z53" s="11">
        <v>0.19289208862018217</v>
      </c>
      <c r="AA53" s="11">
        <v>0.36797748749240683</v>
      </c>
      <c r="AC53" s="11">
        <f t="shared" si="14"/>
        <v>0.43421309948419562</v>
      </c>
      <c r="AD53" s="35" t="str">
        <f t="shared" si="22"/>
        <v>IoU 50</v>
      </c>
      <c r="AE53" s="35" t="str">
        <f t="shared" si="15"/>
        <v>IoU 50</v>
      </c>
      <c r="AG53" s="11">
        <v>0.70427552928172243</v>
      </c>
      <c r="AH53" s="11">
        <v>0.4131097099923362</v>
      </c>
      <c r="AI53" s="11">
        <v>0.40681708272579459</v>
      </c>
      <c r="AK53" s="11">
        <f t="shared" si="16"/>
        <v>0.55869261963702932</v>
      </c>
      <c r="AL53" s="35" t="str">
        <f t="shared" si="8"/>
        <v>IoU 75</v>
      </c>
      <c r="AM53" s="35" t="str">
        <f t="shared" si="17"/>
        <v>IoU 50</v>
      </c>
    </row>
    <row r="54" spans="1:39" x14ac:dyDescent="0.2">
      <c r="C54" s="11">
        <v>0.38883770226412961</v>
      </c>
      <c r="E54" s="11" t="str">
        <f t="shared" si="0"/>
        <v>IoU 25</v>
      </c>
      <c r="G54" s="35" t="str">
        <f t="shared" si="19"/>
        <v>IoU 50</v>
      </c>
      <c r="I54" s="11">
        <v>0.21413959313967984</v>
      </c>
      <c r="K54" s="11">
        <v>0.446053132965055</v>
      </c>
      <c r="M54" s="11">
        <v>0.21413959313967984</v>
      </c>
      <c r="N54" s="35" t="str">
        <f t="shared" si="21"/>
        <v>IoU 25</v>
      </c>
      <c r="O54" s="35" t="str">
        <f t="shared" si="11"/>
        <v>IoU 50</v>
      </c>
      <c r="Q54" s="11">
        <v>0.5017607401727705</v>
      </c>
      <c r="R54" s="11">
        <v>1.6623865610667449E-2</v>
      </c>
      <c r="S54" s="11">
        <v>0.57488213743452321</v>
      </c>
      <c r="U54" s="11">
        <f t="shared" si="12"/>
        <v>0.25919230289171896</v>
      </c>
      <c r="V54" s="35" t="str">
        <f t="shared" si="4"/>
        <v>IoU 50</v>
      </c>
      <c r="W54" s="35" t="str">
        <f t="shared" si="13"/>
        <v>IoU 75</v>
      </c>
      <c r="Z54" s="11">
        <v>0.26808543972024651</v>
      </c>
      <c r="AA54" s="11">
        <v>0.41507898834436913</v>
      </c>
      <c r="AC54" s="11">
        <v>0.26808543972024651</v>
      </c>
      <c r="AD54" s="35" t="str">
        <f t="shared" si="22"/>
        <v>IoU 50</v>
      </c>
      <c r="AE54" s="35" t="str">
        <f t="shared" si="15"/>
        <v>IoU 50</v>
      </c>
      <c r="AG54" s="11">
        <v>0.48083832691157058</v>
      </c>
      <c r="AH54" s="11">
        <v>0.4108323376933557</v>
      </c>
      <c r="AI54" s="11">
        <v>0.22449123566666243</v>
      </c>
      <c r="AK54" s="11">
        <f t="shared" si="16"/>
        <v>0.44583533230246314</v>
      </c>
      <c r="AL54" s="35" t="str">
        <f t="shared" si="8"/>
        <v>IoU 50</v>
      </c>
      <c r="AM54" s="35" t="str">
        <f t="shared" si="17"/>
        <v>IoU 25</v>
      </c>
    </row>
    <row r="55" spans="1:39" x14ac:dyDescent="0.2">
      <c r="A55" s="11">
        <v>0.41210908685078484</v>
      </c>
      <c r="C55" s="11">
        <v>0.39315801846862963</v>
      </c>
      <c r="E55" s="11" t="str">
        <f t="shared" si="0"/>
        <v>IoU 50</v>
      </c>
      <c r="G55" s="35" t="str">
        <f t="shared" si="19"/>
        <v>IoU 50</v>
      </c>
      <c r="I55" s="11">
        <v>0.41830826801673027</v>
      </c>
      <c r="J55" s="11">
        <v>0.61608778377155748</v>
      </c>
      <c r="K55" s="11">
        <v>0.54159319807396555</v>
      </c>
      <c r="M55" s="11">
        <f t="shared" si="10"/>
        <v>0.51719802589414388</v>
      </c>
      <c r="N55" s="35" t="str">
        <f t="shared" si="21"/>
        <v>IoU 75</v>
      </c>
      <c r="O55" s="35" t="str">
        <f t="shared" si="11"/>
        <v>IoU 75</v>
      </c>
      <c r="Q55" s="11">
        <v>0.41844256423791026</v>
      </c>
      <c r="R55" s="11">
        <v>0.42566309370477234</v>
      </c>
      <c r="S55" s="11">
        <v>0.50849195751421539</v>
      </c>
      <c r="U55" s="11">
        <f t="shared" si="12"/>
        <v>0.42205282897134133</v>
      </c>
      <c r="V55" s="35" t="str">
        <f t="shared" si="4"/>
        <v>IoU 50</v>
      </c>
      <c r="W55" s="35" t="str">
        <f t="shared" si="13"/>
        <v>IoU 75</v>
      </c>
      <c r="Y55" s="11">
        <v>0.39226855908713015</v>
      </c>
      <c r="Z55" s="11">
        <v>0.62169433229601967</v>
      </c>
      <c r="AA55" s="11">
        <v>0.14701230423505279</v>
      </c>
      <c r="AC55" s="11">
        <f t="shared" si="14"/>
        <v>0.50698144569157488</v>
      </c>
      <c r="AD55" s="35" t="str">
        <f t="shared" si="22"/>
        <v>IoU 75</v>
      </c>
      <c r="AE55" s="35" t="str">
        <f t="shared" si="15"/>
        <v>IoU 25</v>
      </c>
      <c r="AG55" s="11">
        <v>0.34539025084067521</v>
      </c>
      <c r="AH55" s="11">
        <v>0.43986084845357365</v>
      </c>
      <c r="AI55" s="11">
        <v>0.31229730080659301</v>
      </c>
      <c r="AK55" s="11">
        <f t="shared" si="16"/>
        <v>0.39262554964712443</v>
      </c>
      <c r="AL55" s="35" t="str">
        <f t="shared" si="8"/>
        <v>IoU 50</v>
      </c>
      <c r="AM55" s="35" t="str">
        <f t="shared" si="17"/>
        <v>IoU 50</v>
      </c>
    </row>
    <row r="56" spans="1:39" x14ac:dyDescent="0.2">
      <c r="A56" s="11">
        <v>0.48194267284316344</v>
      </c>
      <c r="C56" s="11">
        <v>0.43869886512345191</v>
      </c>
      <c r="E56" s="11" t="str">
        <f t="shared" si="0"/>
        <v>IoU 50</v>
      </c>
      <c r="G56" s="35" t="str">
        <f t="shared" si="19"/>
        <v>IoU 50</v>
      </c>
      <c r="I56" s="11">
        <v>0.43525238138713779</v>
      </c>
      <c r="J56" s="11">
        <v>0.59640666971804579</v>
      </c>
      <c r="K56" s="11">
        <v>9.3459640197512683E-2</v>
      </c>
      <c r="M56" s="11">
        <f t="shared" si="10"/>
        <v>0.51582952555259176</v>
      </c>
      <c r="N56" s="35" t="str">
        <f t="shared" si="21"/>
        <v>IoU 75</v>
      </c>
      <c r="O56" s="35" t="str">
        <f t="shared" si="11"/>
        <v>IoU 25</v>
      </c>
      <c r="Q56" s="11">
        <v>0.21449218129070144</v>
      </c>
      <c r="R56" s="11">
        <v>0.43499322898677245</v>
      </c>
      <c r="S56" s="11">
        <v>0.48839264385164871</v>
      </c>
      <c r="U56" s="11">
        <f t="shared" si="12"/>
        <v>0.32474270513873693</v>
      </c>
      <c r="V56" s="35" t="str">
        <f t="shared" si="4"/>
        <v>IoU 50</v>
      </c>
      <c r="W56" s="35" t="str">
        <f t="shared" si="13"/>
        <v>IoU 50</v>
      </c>
      <c r="Y56" s="11">
        <v>0.18656440559556953</v>
      </c>
      <c r="Z56" s="11">
        <v>0.60974042566410169</v>
      </c>
      <c r="AA56" s="11">
        <v>0.42089508347706228</v>
      </c>
      <c r="AC56" s="11">
        <f t="shared" si="14"/>
        <v>0.39815241562983561</v>
      </c>
      <c r="AD56" s="35" t="str">
        <f t="shared" si="22"/>
        <v>IoU 50</v>
      </c>
      <c r="AE56" s="35" t="str">
        <f t="shared" si="15"/>
        <v>IoU 50</v>
      </c>
      <c r="AG56" s="11">
        <v>0</v>
      </c>
      <c r="AH56" s="11">
        <v>0.42658619497596717</v>
      </c>
      <c r="AI56" s="11">
        <v>0.30851353981862945</v>
      </c>
      <c r="AK56" s="11">
        <f t="shared" si="16"/>
        <v>0.21329309748798359</v>
      </c>
      <c r="AL56" s="35" t="str">
        <f t="shared" si="8"/>
        <v>IoU 25</v>
      </c>
      <c r="AM56" s="35" t="str">
        <f t="shared" si="17"/>
        <v>IoU 50</v>
      </c>
    </row>
    <row r="57" spans="1:39" x14ac:dyDescent="0.2">
      <c r="C57" s="11">
        <v>0.29956400297298036</v>
      </c>
      <c r="E57" s="11" t="str">
        <f t="shared" si="0"/>
        <v>IoU 25</v>
      </c>
      <c r="G57" s="35" t="str">
        <f t="shared" si="19"/>
        <v>IoU 50</v>
      </c>
      <c r="I57" s="11">
        <v>0</v>
      </c>
      <c r="J57" s="11">
        <v>0.54716140151914927</v>
      </c>
      <c r="K57" s="11">
        <v>0.30504363852409772</v>
      </c>
      <c r="M57" s="11">
        <f t="shared" si="10"/>
        <v>0.27358070075957464</v>
      </c>
      <c r="N57" s="35" t="str">
        <f t="shared" si="21"/>
        <v>IoU 50</v>
      </c>
      <c r="O57" s="35" t="str">
        <f t="shared" si="11"/>
        <v>IoU 50</v>
      </c>
      <c r="Q57" s="11">
        <v>0.31484903490187627</v>
      </c>
      <c r="R57" s="11">
        <v>0.12844138354517187</v>
      </c>
      <c r="S57" s="11">
        <v>0.43040885530119616</v>
      </c>
      <c r="U57" s="11">
        <f t="shared" si="12"/>
        <v>0.22164520922352407</v>
      </c>
      <c r="V57" s="35" t="str">
        <f t="shared" si="4"/>
        <v>IoU 25</v>
      </c>
      <c r="W57" s="35" t="str">
        <f t="shared" si="13"/>
        <v>IoU 50</v>
      </c>
      <c r="Y57" s="11">
        <v>0.28959881156177442</v>
      </c>
      <c r="Z57" s="11">
        <v>0.73507036233016243</v>
      </c>
      <c r="AA57" s="11">
        <v>0.3481828490430075</v>
      </c>
      <c r="AC57" s="11">
        <f t="shared" si="14"/>
        <v>0.51233458694596845</v>
      </c>
      <c r="AD57" s="35" t="str">
        <f t="shared" si="22"/>
        <v>IoU 75</v>
      </c>
      <c r="AE57" s="35" t="str">
        <f t="shared" si="15"/>
        <v>IoU 50</v>
      </c>
      <c r="AG57" s="11">
        <v>0.30119293013189796</v>
      </c>
      <c r="AH57" s="11">
        <v>0.25501159412839136</v>
      </c>
      <c r="AI57" s="11">
        <v>0.39193665710541314</v>
      </c>
      <c r="AK57" s="11">
        <f t="shared" si="16"/>
        <v>0.27810226213014466</v>
      </c>
      <c r="AL57" s="35" t="str">
        <f t="shared" si="8"/>
        <v>IoU 50</v>
      </c>
      <c r="AM57" s="35" t="str">
        <f t="shared" si="17"/>
        <v>IoU 50</v>
      </c>
    </row>
    <row r="58" spans="1:39" x14ac:dyDescent="0.2">
      <c r="C58" s="11">
        <v>0.51086518409588055</v>
      </c>
      <c r="E58" s="11" t="str">
        <f t="shared" si="0"/>
        <v>IoU 25</v>
      </c>
      <c r="G58" s="35" t="str">
        <f t="shared" si="19"/>
        <v>IoU 75</v>
      </c>
      <c r="I58" s="11">
        <v>0.40150759054342611</v>
      </c>
      <c r="J58" s="11">
        <v>0.64356300534101263</v>
      </c>
      <c r="K58" s="11">
        <v>0.59122577073946214</v>
      </c>
      <c r="M58" s="11">
        <f t="shared" si="10"/>
        <v>0.52253529794221931</v>
      </c>
      <c r="N58" s="35" t="str">
        <f t="shared" si="21"/>
        <v>IoU 75</v>
      </c>
      <c r="O58" s="35" t="str">
        <f t="shared" si="11"/>
        <v>IoU 75</v>
      </c>
      <c r="Q58" s="11">
        <v>0.44433939976738357</v>
      </c>
      <c r="R58" s="11">
        <v>0.23844820405308687</v>
      </c>
      <c r="S58" s="11">
        <v>0.45360047877349791</v>
      </c>
      <c r="U58" s="11">
        <f t="shared" si="12"/>
        <v>0.34139380191023522</v>
      </c>
      <c r="V58" s="35" t="str">
        <f t="shared" si="4"/>
        <v>IoU 50</v>
      </c>
      <c r="W58" s="35" t="str">
        <f t="shared" si="13"/>
        <v>IoU 50</v>
      </c>
      <c r="Y58" s="11">
        <v>0.24622323670690044</v>
      </c>
      <c r="Z58" s="11">
        <v>0.44142281402897277</v>
      </c>
      <c r="AA58" s="11">
        <v>0.38175970095505113</v>
      </c>
      <c r="AC58" s="11">
        <f t="shared" si="14"/>
        <v>0.34382302536793663</v>
      </c>
      <c r="AD58" s="35" t="str">
        <f t="shared" si="22"/>
        <v>IoU 50</v>
      </c>
      <c r="AE58" s="35" t="str">
        <f t="shared" si="15"/>
        <v>IoU 50</v>
      </c>
      <c r="AG58" s="11">
        <v>0</v>
      </c>
      <c r="AH58" s="11">
        <v>0.34256800821536304</v>
      </c>
      <c r="AI58" s="11">
        <v>0.28419559036772246</v>
      </c>
      <c r="AK58" s="11">
        <f t="shared" si="16"/>
        <v>0.17128400410768152</v>
      </c>
      <c r="AL58" s="35" t="str">
        <f t="shared" si="8"/>
        <v>IoU 25</v>
      </c>
      <c r="AM58" s="35" t="str">
        <f t="shared" si="17"/>
        <v>IoU 50</v>
      </c>
    </row>
    <row r="59" spans="1:39" x14ac:dyDescent="0.2">
      <c r="A59" s="11">
        <v>0.27686631388670691</v>
      </c>
      <c r="C59" s="11">
        <v>0.57543232272845857</v>
      </c>
      <c r="E59" s="11" t="str">
        <f t="shared" si="0"/>
        <v>IoU 50</v>
      </c>
      <c r="G59" s="35" t="str">
        <f t="shared" si="19"/>
        <v>IoU 75</v>
      </c>
      <c r="I59" s="11">
        <v>0.23149536352562172</v>
      </c>
      <c r="J59" s="11">
        <v>0.20043022397168578</v>
      </c>
      <c r="K59" s="11">
        <v>0.11719640493690084</v>
      </c>
      <c r="M59" s="11">
        <f t="shared" si="10"/>
        <v>0.21596279374865374</v>
      </c>
      <c r="N59" s="35" t="str">
        <f t="shared" si="21"/>
        <v>IoU 25</v>
      </c>
      <c r="O59" s="35" t="str">
        <f t="shared" si="11"/>
        <v>IoU 25</v>
      </c>
      <c r="Q59" s="11">
        <v>0.39672872817143717</v>
      </c>
      <c r="R59" s="11">
        <v>0.18146520029539587</v>
      </c>
      <c r="S59" s="11">
        <v>0.39351439737446431</v>
      </c>
      <c r="U59" s="11">
        <f t="shared" si="12"/>
        <v>0.28909696423341652</v>
      </c>
      <c r="V59" s="35" t="str">
        <f t="shared" si="4"/>
        <v>IoU 50</v>
      </c>
      <c r="W59" s="35" t="str">
        <f t="shared" si="13"/>
        <v>IoU 50</v>
      </c>
      <c r="AA59" s="11">
        <v>0.5371990503679932</v>
      </c>
      <c r="AD59" s="35"/>
      <c r="AE59" s="35" t="str">
        <f t="shared" si="15"/>
        <v>IoU 75</v>
      </c>
      <c r="AG59" s="11">
        <v>0.26733628534381831</v>
      </c>
      <c r="AH59" s="11">
        <v>0.20173317978737867</v>
      </c>
      <c r="AI59" s="11">
        <v>0.43988238132132679</v>
      </c>
      <c r="AK59" s="11">
        <f t="shared" si="16"/>
        <v>0.23453473256559848</v>
      </c>
      <c r="AL59" s="35" t="str">
        <f t="shared" si="8"/>
        <v>IoU 25</v>
      </c>
      <c r="AM59" s="35" t="str">
        <f t="shared" si="17"/>
        <v>IoU 50</v>
      </c>
    </row>
    <row r="60" spans="1:39" x14ac:dyDescent="0.2">
      <c r="A60" s="11">
        <v>0.1703269318123391</v>
      </c>
      <c r="C60" s="11">
        <v>0.24028641394170913</v>
      </c>
      <c r="E60" s="11" t="str">
        <f t="shared" si="0"/>
        <v>IoU 25</v>
      </c>
      <c r="G60" s="35" t="str">
        <f t="shared" si="19"/>
        <v>IoU 25</v>
      </c>
      <c r="I60" s="11">
        <v>0.38227935736246588</v>
      </c>
      <c r="J60" s="11">
        <v>0.77979039862415678</v>
      </c>
      <c r="K60" s="11">
        <v>0.50896823202357722</v>
      </c>
      <c r="M60" s="11">
        <f t="shared" si="10"/>
        <v>0.58103487799331133</v>
      </c>
      <c r="N60" s="35" t="str">
        <f t="shared" si="21"/>
        <v>IoU 75</v>
      </c>
      <c r="O60" s="35" t="str">
        <f t="shared" si="11"/>
        <v>IoU 75</v>
      </c>
      <c r="Q60" s="11">
        <v>8.3152724108633932E-2</v>
      </c>
      <c r="R60" s="11">
        <v>0.44111805551776073</v>
      </c>
      <c r="S60" s="11">
        <v>0.3244756491385109</v>
      </c>
      <c r="U60" s="11">
        <f t="shared" si="12"/>
        <v>0.26213538981319734</v>
      </c>
      <c r="V60" s="35" t="str">
        <f t="shared" si="4"/>
        <v>IoU 50</v>
      </c>
      <c r="W60" s="35" t="str">
        <f t="shared" si="13"/>
        <v>IoU 50</v>
      </c>
      <c r="Y60" s="11">
        <v>0.18031088082901556</v>
      </c>
      <c r="Z60" s="11">
        <v>9.1870476190607342E-2</v>
      </c>
      <c r="AA60" s="11">
        <v>0.54937094630908245</v>
      </c>
      <c r="AC60" s="11">
        <f t="shared" si="14"/>
        <v>0.13609067850981144</v>
      </c>
      <c r="AD60" s="35" t="str">
        <f t="shared" ref="AD60:AD67" si="23">VLOOKUP(AC60,IoU_Thresholds,2,TRUE)</f>
        <v>IoU 25</v>
      </c>
      <c r="AE60" s="35" t="str">
        <f t="shared" si="15"/>
        <v>IoU 75</v>
      </c>
      <c r="AG60" s="11">
        <v>0.41849400908879575</v>
      </c>
      <c r="AH60" s="11">
        <v>0.76099258256064195</v>
      </c>
      <c r="AI60" s="11">
        <v>0.32208502489038293</v>
      </c>
      <c r="AK60" s="11">
        <f t="shared" si="16"/>
        <v>0.58974329582471885</v>
      </c>
      <c r="AL60" s="35" t="str">
        <f t="shared" si="8"/>
        <v>IoU 75</v>
      </c>
      <c r="AM60" s="35" t="str">
        <f t="shared" si="17"/>
        <v>IoU 50</v>
      </c>
    </row>
    <row r="61" spans="1:39" x14ac:dyDescent="0.2">
      <c r="A61" s="11">
        <v>5.7807941364833131E-2</v>
      </c>
      <c r="C61" s="11">
        <v>0.3571035726253794</v>
      </c>
      <c r="E61" s="11" t="str">
        <f t="shared" si="0"/>
        <v>IoU 25</v>
      </c>
      <c r="G61" s="35" t="str">
        <f t="shared" si="19"/>
        <v>IoU 50</v>
      </c>
      <c r="I61" s="11">
        <v>0.19848498061348707</v>
      </c>
      <c r="J61" s="11">
        <v>0.70427533077587423</v>
      </c>
      <c r="K61" s="11">
        <v>0.15036404119437993</v>
      </c>
      <c r="M61" s="11">
        <f t="shared" si="10"/>
        <v>0.45138015569468065</v>
      </c>
      <c r="N61" s="35" t="str">
        <f t="shared" si="21"/>
        <v>IoU 50</v>
      </c>
      <c r="O61" s="35" t="str">
        <f t="shared" si="11"/>
        <v>IoU 25</v>
      </c>
      <c r="Q61" s="11">
        <v>0.59070299667232373</v>
      </c>
      <c r="R61" s="11">
        <v>0.82261205546320093</v>
      </c>
      <c r="S61" s="11">
        <v>0.46754138196501904</v>
      </c>
      <c r="U61" s="11">
        <f t="shared" si="12"/>
        <v>0.70665752606776233</v>
      </c>
      <c r="V61" s="35" t="str">
        <f t="shared" si="4"/>
        <v>IoU 75</v>
      </c>
      <c r="W61" s="35" t="str">
        <f t="shared" si="13"/>
        <v>IoU 50</v>
      </c>
      <c r="Z61" s="11">
        <v>0.78331053015994634</v>
      </c>
      <c r="AA61" s="11">
        <v>0.31298277654404516</v>
      </c>
      <c r="AC61" s="11">
        <v>0.78331053015994634</v>
      </c>
      <c r="AD61" s="35" t="str">
        <f t="shared" si="23"/>
        <v>IoU 100</v>
      </c>
      <c r="AE61" s="35" t="str">
        <f t="shared" si="15"/>
        <v>IoU 50</v>
      </c>
      <c r="AG61" s="11">
        <v>0.20924300161194379</v>
      </c>
      <c r="AH61" s="11">
        <v>0.71041451109545428</v>
      </c>
      <c r="AI61" s="11">
        <v>0.21599745428009587</v>
      </c>
      <c r="AK61" s="11">
        <f t="shared" si="16"/>
        <v>0.45982875635369902</v>
      </c>
      <c r="AL61" s="35" t="str">
        <f t="shared" si="8"/>
        <v>IoU 50</v>
      </c>
      <c r="AM61" s="35" t="str">
        <f t="shared" si="17"/>
        <v>IoU 25</v>
      </c>
    </row>
    <row r="62" spans="1:39" x14ac:dyDescent="0.2">
      <c r="C62" s="11">
        <v>0.24589884090692404</v>
      </c>
      <c r="E62" s="11" t="str">
        <f t="shared" si="0"/>
        <v>IoU 25</v>
      </c>
      <c r="G62" s="35" t="str">
        <f t="shared" si="19"/>
        <v>IoU 25</v>
      </c>
      <c r="I62" s="11">
        <v>0.14161538649139097</v>
      </c>
      <c r="J62" s="11">
        <v>0.12854930304594733</v>
      </c>
      <c r="K62" s="11">
        <v>0.49888925355272673</v>
      </c>
      <c r="M62" s="11">
        <f t="shared" si="10"/>
        <v>0.13508234476866915</v>
      </c>
      <c r="N62" s="35" t="str">
        <f t="shared" si="21"/>
        <v>IoU 25</v>
      </c>
      <c r="O62" s="35" t="str">
        <f t="shared" si="11"/>
        <v>IoU 50</v>
      </c>
      <c r="Q62" s="11">
        <v>0.55797483407863901</v>
      </c>
      <c r="R62" s="11">
        <v>0.70978965007344041</v>
      </c>
      <c r="S62" s="11">
        <v>0.35464718011948421</v>
      </c>
      <c r="U62" s="11">
        <f t="shared" si="12"/>
        <v>0.63388224207603971</v>
      </c>
      <c r="V62" s="35" t="str">
        <f t="shared" si="4"/>
        <v>IoU 75</v>
      </c>
      <c r="W62" s="35" t="str">
        <f t="shared" si="13"/>
        <v>IoU 50</v>
      </c>
      <c r="Y62" s="11">
        <v>0.20960993934344435</v>
      </c>
      <c r="Z62" s="11">
        <v>0.54943718708873246</v>
      </c>
      <c r="AA62" s="11">
        <v>0.46823240670504207</v>
      </c>
      <c r="AC62" s="11">
        <f t="shared" si="14"/>
        <v>0.37952356321608838</v>
      </c>
      <c r="AD62" s="35" t="str">
        <f t="shared" si="23"/>
        <v>IoU 50</v>
      </c>
      <c r="AE62" s="35" t="str">
        <f t="shared" si="15"/>
        <v>IoU 50</v>
      </c>
      <c r="AG62" s="11">
        <v>0.19482060006327567</v>
      </c>
      <c r="AH62" s="11">
        <v>0.45756806791425725</v>
      </c>
      <c r="AI62" s="11">
        <v>0.27904116033227117</v>
      </c>
      <c r="AK62" s="11">
        <f t="shared" si="16"/>
        <v>0.32619433398876646</v>
      </c>
      <c r="AL62" s="35" t="str">
        <f t="shared" si="8"/>
        <v>IoU 50</v>
      </c>
      <c r="AM62" s="35" t="str">
        <f t="shared" si="17"/>
        <v>IoU 50</v>
      </c>
    </row>
    <row r="63" spans="1:39" x14ac:dyDescent="0.2">
      <c r="A63" s="11">
        <v>0.45737662423393766</v>
      </c>
      <c r="C63" s="11">
        <v>0.42517864736809374</v>
      </c>
      <c r="E63" s="11" t="str">
        <f t="shared" si="0"/>
        <v>IoU 50</v>
      </c>
      <c r="G63" s="35" t="str">
        <f t="shared" si="19"/>
        <v>IoU 50</v>
      </c>
      <c r="I63" s="11">
        <v>0.41009791691042474</v>
      </c>
      <c r="J63" s="11">
        <v>0.43499321644036276</v>
      </c>
      <c r="K63" s="11">
        <v>0.4578131517638217</v>
      </c>
      <c r="M63" s="11">
        <f t="shared" si="10"/>
        <v>0.42254556667539378</v>
      </c>
      <c r="N63" s="35" t="str">
        <f t="shared" si="21"/>
        <v>IoU 50</v>
      </c>
      <c r="O63" s="35" t="str">
        <f t="shared" si="11"/>
        <v>IoU 50</v>
      </c>
      <c r="Q63" s="11">
        <v>0.42063016748684878</v>
      </c>
      <c r="R63" s="11">
        <v>0.27688700414627876</v>
      </c>
      <c r="S63" s="11">
        <v>0.52386422375970532</v>
      </c>
      <c r="U63" s="11">
        <f t="shared" si="12"/>
        <v>0.34875858581656377</v>
      </c>
      <c r="V63" s="35" t="str">
        <f t="shared" si="4"/>
        <v>IoU 50</v>
      </c>
      <c r="W63" s="35" t="str">
        <f t="shared" si="13"/>
        <v>IoU 75</v>
      </c>
      <c r="Y63" s="11">
        <v>0.48565022859427409</v>
      </c>
      <c r="Z63" s="11">
        <v>0.66008101335322023</v>
      </c>
      <c r="AA63" s="11">
        <v>0.46222664704743427</v>
      </c>
      <c r="AC63" s="11">
        <f t="shared" si="14"/>
        <v>0.57286562097374716</v>
      </c>
      <c r="AD63" s="35" t="str">
        <f t="shared" si="23"/>
        <v>IoU 75</v>
      </c>
      <c r="AE63" s="35" t="str">
        <f t="shared" si="15"/>
        <v>IoU 50</v>
      </c>
      <c r="AG63" s="11">
        <v>0.59525777963733351</v>
      </c>
      <c r="AH63" s="11">
        <v>0.40336968877318108</v>
      </c>
      <c r="AI63" s="11">
        <v>0.32039771481421386</v>
      </c>
      <c r="AK63" s="11">
        <f t="shared" si="16"/>
        <v>0.49931373420525726</v>
      </c>
      <c r="AL63" s="35" t="str">
        <f t="shared" si="8"/>
        <v>IoU 50</v>
      </c>
      <c r="AM63" s="35" t="str">
        <f t="shared" si="17"/>
        <v>IoU 50</v>
      </c>
    </row>
    <row r="64" spans="1:39" x14ac:dyDescent="0.2">
      <c r="A64" s="11">
        <v>0</v>
      </c>
      <c r="C64" s="11">
        <v>0.2638225335963777</v>
      </c>
      <c r="E64" s="11" t="str">
        <f t="shared" si="0"/>
        <v>IoU 25</v>
      </c>
      <c r="G64" s="35" t="str">
        <f t="shared" si="19"/>
        <v>IoU 50</v>
      </c>
      <c r="I64" s="11">
        <v>8.1195339024006524E-2</v>
      </c>
      <c r="J64" s="11">
        <v>0.77505902619657474</v>
      </c>
      <c r="K64" s="11">
        <v>0.55526728026170058</v>
      </c>
      <c r="M64" s="11">
        <f t="shared" si="10"/>
        <v>0.42812718261029065</v>
      </c>
      <c r="N64" s="35" t="str">
        <f t="shared" si="21"/>
        <v>IoU 50</v>
      </c>
      <c r="O64" s="35" t="str">
        <f t="shared" si="11"/>
        <v>IoU 75</v>
      </c>
      <c r="Q64" s="11">
        <v>0.419788708948786</v>
      </c>
      <c r="R64" s="11">
        <v>0.38241483101103091</v>
      </c>
      <c r="S64" s="11">
        <v>0.37428387460182622</v>
      </c>
      <c r="U64" s="11">
        <f t="shared" si="12"/>
        <v>0.40110176997990843</v>
      </c>
      <c r="V64" s="35" t="str">
        <f t="shared" si="4"/>
        <v>IoU 50</v>
      </c>
      <c r="W64" s="35" t="str">
        <f t="shared" si="13"/>
        <v>IoU 50</v>
      </c>
      <c r="Y64" s="11">
        <v>0.23008835107757736</v>
      </c>
      <c r="Z64" s="11">
        <v>0.30260421350121108</v>
      </c>
      <c r="AA64" s="11">
        <v>0.51297262140102062</v>
      </c>
      <c r="AC64" s="11">
        <f t="shared" si="14"/>
        <v>0.26634628228939422</v>
      </c>
      <c r="AD64" s="35" t="str">
        <f t="shared" si="23"/>
        <v>IoU 50</v>
      </c>
      <c r="AE64" s="35" t="str">
        <f t="shared" si="15"/>
        <v>IoU 75</v>
      </c>
      <c r="AG64" s="11">
        <v>0.1683212563399418</v>
      </c>
      <c r="AH64" s="11">
        <v>0.43468847720437265</v>
      </c>
      <c r="AI64" s="11">
        <v>0.30116575135450835</v>
      </c>
      <c r="AK64" s="11">
        <f t="shared" si="16"/>
        <v>0.30150486677215721</v>
      </c>
      <c r="AL64" s="35" t="str">
        <f t="shared" si="8"/>
        <v>IoU 50</v>
      </c>
      <c r="AM64" s="35" t="str">
        <f t="shared" si="17"/>
        <v>IoU 50</v>
      </c>
    </row>
    <row r="65" spans="1:39" x14ac:dyDescent="0.2">
      <c r="A65" s="11">
        <v>0.48615059808909766</v>
      </c>
      <c r="C65" s="11">
        <v>0.24361529166229084</v>
      </c>
      <c r="E65" s="11" t="str">
        <f t="shared" si="0"/>
        <v>IoU 50</v>
      </c>
      <c r="G65" s="35" t="str">
        <f t="shared" si="19"/>
        <v>IoU 25</v>
      </c>
      <c r="I65" s="11">
        <v>0.20309545388626046</v>
      </c>
      <c r="J65" s="11">
        <v>0.47058430404885987</v>
      </c>
      <c r="M65" s="11">
        <f t="shared" si="10"/>
        <v>0.33683987896756018</v>
      </c>
      <c r="N65" s="35" t="str">
        <f t="shared" si="21"/>
        <v>IoU 50</v>
      </c>
      <c r="O65" s="35"/>
      <c r="Q65" s="11">
        <v>0.38276882423995451</v>
      </c>
      <c r="R65" s="11">
        <v>0.21020728465942501</v>
      </c>
      <c r="S65" s="11">
        <v>0.57433005326826969</v>
      </c>
      <c r="U65" s="11">
        <f t="shared" si="12"/>
        <v>0.29648805444968973</v>
      </c>
      <c r="V65" s="35" t="str">
        <f t="shared" si="4"/>
        <v>IoU 50</v>
      </c>
      <c r="W65" s="35" t="str">
        <f t="shared" si="13"/>
        <v>IoU 75</v>
      </c>
      <c r="Y65" s="11">
        <v>0</v>
      </c>
      <c r="Z65" s="11">
        <v>0.77721122720841618</v>
      </c>
      <c r="AA65" s="11">
        <v>0.28677977764031481</v>
      </c>
      <c r="AC65" s="11">
        <f t="shared" si="14"/>
        <v>0.38860561360420809</v>
      </c>
      <c r="AD65" s="35" t="str">
        <f t="shared" si="23"/>
        <v>IoU 50</v>
      </c>
      <c r="AE65" s="35" t="str">
        <f t="shared" si="15"/>
        <v>IoU 50</v>
      </c>
      <c r="AG65" s="11">
        <v>2.7304266090172808E-3</v>
      </c>
      <c r="AH65" s="11">
        <v>0.32318862374104046</v>
      </c>
      <c r="AI65" s="11">
        <v>0.43612629228092303</v>
      </c>
      <c r="AK65" s="11">
        <f t="shared" si="16"/>
        <v>0.16295952517502887</v>
      </c>
      <c r="AL65" s="35" t="str">
        <f t="shared" si="8"/>
        <v>IoU 25</v>
      </c>
      <c r="AM65" s="35" t="str">
        <f t="shared" si="17"/>
        <v>IoU 50</v>
      </c>
    </row>
    <row r="66" spans="1:39" x14ac:dyDescent="0.2">
      <c r="A66" s="11">
        <v>0</v>
      </c>
      <c r="C66" s="11">
        <v>0.11234892889554425</v>
      </c>
      <c r="E66" s="11" t="str">
        <f t="shared" si="0"/>
        <v>IoU 25</v>
      </c>
      <c r="G66" s="35" t="str">
        <f t="shared" si="19"/>
        <v>IoU 25</v>
      </c>
      <c r="I66" s="11">
        <v>7.8496669838249294E-3</v>
      </c>
      <c r="J66" s="11">
        <v>0.24068428184281843</v>
      </c>
      <c r="K66" s="11">
        <v>0.14685643108826021</v>
      </c>
      <c r="M66" s="11">
        <f t="shared" si="10"/>
        <v>0.12426697441332168</v>
      </c>
      <c r="N66" s="35" t="str">
        <f t="shared" si="21"/>
        <v>IoU 25</v>
      </c>
      <c r="O66" s="35" t="str">
        <f t="shared" si="11"/>
        <v>IoU 25</v>
      </c>
      <c r="Q66" s="11">
        <v>0.46335418420081942</v>
      </c>
      <c r="S66" s="11">
        <v>0.4803271045224683</v>
      </c>
      <c r="U66" s="11">
        <v>0.46335418420081942</v>
      </c>
      <c r="V66" s="35" t="str">
        <f t="shared" si="4"/>
        <v>IoU 50</v>
      </c>
      <c r="W66" s="35" t="str">
        <f t="shared" si="13"/>
        <v>IoU 50</v>
      </c>
      <c r="Y66" s="11">
        <v>0.20009121709669012</v>
      </c>
      <c r="Z66" s="11">
        <v>0.7438852548755952</v>
      </c>
      <c r="AA66" s="11">
        <v>0.34653681631338124</v>
      </c>
      <c r="AC66" s="11">
        <f t="shared" si="14"/>
        <v>0.47198823598614265</v>
      </c>
      <c r="AD66" s="35" t="str">
        <f t="shared" si="23"/>
        <v>IoU 50</v>
      </c>
      <c r="AE66" s="35" t="str">
        <f t="shared" si="15"/>
        <v>IoU 50</v>
      </c>
      <c r="AG66" s="11">
        <v>0.36690193569907559</v>
      </c>
      <c r="AH66" s="11">
        <v>0.56587776782337829</v>
      </c>
      <c r="AI66" s="11">
        <v>0.51260286509072917</v>
      </c>
      <c r="AK66" s="11">
        <f t="shared" si="16"/>
        <v>0.46638985176122694</v>
      </c>
      <c r="AL66" s="35" t="str">
        <f t="shared" si="8"/>
        <v>IoU 50</v>
      </c>
      <c r="AM66" s="35" t="str">
        <f t="shared" si="17"/>
        <v>IoU 75</v>
      </c>
    </row>
    <row r="67" spans="1:39" x14ac:dyDescent="0.2">
      <c r="A67" s="11">
        <v>0.24941220431860023</v>
      </c>
      <c r="C67" s="11">
        <v>0.48865361834395837</v>
      </c>
      <c r="E67" s="11" t="str">
        <f t="shared" si="0"/>
        <v>IoU 25</v>
      </c>
      <c r="G67" s="35" t="str">
        <f t="shared" si="19"/>
        <v>IoU 50</v>
      </c>
      <c r="I67" s="11">
        <v>0.5273246752587466</v>
      </c>
      <c r="J67" s="11">
        <v>0.37284805591430292</v>
      </c>
      <c r="K67" s="11">
        <v>0.30316567824460261</v>
      </c>
      <c r="M67" s="11">
        <f t="shared" si="10"/>
        <v>0.45008636558652476</v>
      </c>
      <c r="N67" s="35" t="str">
        <f t="shared" si="21"/>
        <v>IoU 50</v>
      </c>
      <c r="O67" s="35" t="str">
        <f t="shared" si="11"/>
        <v>IoU 50</v>
      </c>
      <c r="Q67" s="11">
        <v>0.20883330801258931</v>
      </c>
      <c r="R67" s="11">
        <v>0.80433867710946672</v>
      </c>
      <c r="S67" s="11">
        <v>0.45671216819742977</v>
      </c>
      <c r="U67" s="11">
        <f t="shared" si="12"/>
        <v>0.50658599256102799</v>
      </c>
      <c r="V67" s="35" t="str">
        <f t="shared" si="4"/>
        <v>IoU 75</v>
      </c>
      <c r="W67" s="35" t="str">
        <f t="shared" si="13"/>
        <v>IoU 50</v>
      </c>
      <c r="Z67" s="11">
        <v>5.3094310870301385E-2</v>
      </c>
      <c r="AA67" s="11">
        <v>0.26744552315062775</v>
      </c>
      <c r="AC67" s="11">
        <v>5.3094310870301385E-2</v>
      </c>
      <c r="AD67" s="35" t="str">
        <f t="shared" si="23"/>
        <v>IoU 25</v>
      </c>
      <c r="AE67" s="35" t="str">
        <f t="shared" si="15"/>
        <v>IoU 50</v>
      </c>
      <c r="AG67" s="11">
        <v>0.17183540527236527</v>
      </c>
      <c r="AH67" s="11">
        <v>0.44153028232713254</v>
      </c>
      <c r="AI67" s="11">
        <v>0.18268591868626641</v>
      </c>
      <c r="AK67" s="11">
        <f t="shared" si="16"/>
        <v>0.30668284379974892</v>
      </c>
      <c r="AL67" s="35" t="str">
        <f t="shared" si="8"/>
        <v>IoU 50</v>
      </c>
      <c r="AM67" s="35" t="str">
        <f t="shared" si="17"/>
        <v>IoU 25</v>
      </c>
    </row>
    <row r="68" spans="1:39" x14ac:dyDescent="0.2">
      <c r="A68" s="11">
        <v>0.77998841813268049</v>
      </c>
      <c r="C68" s="11">
        <v>0.36845378591954631</v>
      </c>
      <c r="E68" s="11" t="str">
        <f t="shared" ref="E68:E131" si="24">VLOOKUP(A68,IoU_Thresholds,2,TRUE)</f>
        <v>IoU 100</v>
      </c>
      <c r="G68" s="35" t="str">
        <f t="shared" si="19"/>
        <v>IoU 50</v>
      </c>
      <c r="I68" s="11">
        <v>0.23255057043123556</v>
      </c>
      <c r="J68" s="11">
        <v>0.3943035760651189</v>
      </c>
      <c r="K68" s="11">
        <v>0.27852464072943628</v>
      </c>
      <c r="M68" s="11">
        <f t="shared" si="10"/>
        <v>0.3134270732481772</v>
      </c>
      <c r="N68" s="35" t="str">
        <f t="shared" si="21"/>
        <v>IoU 50</v>
      </c>
      <c r="O68" s="35" t="str">
        <f t="shared" si="11"/>
        <v>IoU 50</v>
      </c>
      <c r="Q68" s="11">
        <v>0.428045732442146</v>
      </c>
      <c r="R68" s="11">
        <v>0.41841550233834052</v>
      </c>
      <c r="S68" s="11">
        <v>0.44554923961278919</v>
      </c>
      <c r="U68" s="11">
        <f t="shared" si="12"/>
        <v>0.42323061739024326</v>
      </c>
      <c r="V68" s="35" t="str">
        <f t="shared" ref="V68:V131" si="25">VLOOKUP(U68,IoU_Thresholds,2,TRUE)</f>
        <v>IoU 50</v>
      </c>
      <c r="W68" s="35" t="str">
        <f t="shared" si="13"/>
        <v>IoU 50</v>
      </c>
      <c r="AD68" s="35"/>
      <c r="AE68" s="35"/>
      <c r="AG68" s="11">
        <v>0.38191554357811275</v>
      </c>
      <c r="AH68" s="11">
        <v>0</v>
      </c>
      <c r="AI68" s="11">
        <v>0.46084160462152729</v>
      </c>
      <c r="AK68" s="11">
        <f t="shared" si="16"/>
        <v>0.19095777178905637</v>
      </c>
      <c r="AL68" s="35" t="str">
        <f t="shared" ref="AL68:AL131" si="26">VLOOKUP(AK68,IoU_Thresholds,2,TRUE)</f>
        <v>IoU 25</v>
      </c>
      <c r="AM68" s="35" t="str">
        <f t="shared" si="17"/>
        <v>IoU 50</v>
      </c>
    </row>
    <row r="69" spans="1:39" x14ac:dyDescent="0.2">
      <c r="A69" s="11">
        <v>0.54884162490103661</v>
      </c>
      <c r="C69" s="11">
        <v>8.6933152723919355E-3</v>
      </c>
      <c r="E69" s="11" t="str">
        <f t="shared" si="24"/>
        <v>IoU 75</v>
      </c>
      <c r="G69" s="35" t="str">
        <f t="shared" si="19"/>
        <v>IoU 25</v>
      </c>
      <c r="I69" s="11">
        <v>0.66265991845697347</v>
      </c>
      <c r="J69" s="11">
        <v>0.44671907607801287</v>
      </c>
      <c r="K69" s="11">
        <v>0.48413442374398824</v>
      </c>
      <c r="M69" s="11">
        <f t="shared" ref="M69:M132" si="27">(I69+J69)/2</f>
        <v>0.55468949726749317</v>
      </c>
      <c r="N69" s="35" t="str">
        <f t="shared" si="21"/>
        <v>IoU 75</v>
      </c>
      <c r="O69" s="35" t="str">
        <f t="shared" ref="O69:O132" si="28">VLOOKUP(K69,IoU_Thresholds,2,TRUE)</f>
        <v>IoU 50</v>
      </c>
      <c r="Q69" s="11">
        <v>0.21197975095739965</v>
      </c>
      <c r="R69" s="11">
        <v>0.23077022483263554</v>
      </c>
      <c r="S69" s="11">
        <v>0.20993343408944903</v>
      </c>
      <c r="U69" s="11">
        <f t="shared" ref="U69:U132" si="29">(Q69+R69)/2</f>
        <v>0.22137498789501758</v>
      </c>
      <c r="V69" s="35" t="str">
        <f t="shared" si="25"/>
        <v>IoU 25</v>
      </c>
      <c r="W69" s="35" t="str">
        <f t="shared" ref="W69:W132" si="30">VLOOKUP(S69,IoU_Thresholds,2,TRUE)</f>
        <v>IoU 25</v>
      </c>
      <c r="Y69" s="11">
        <v>0.26097476531031094</v>
      </c>
      <c r="Z69" s="11">
        <v>0.60649558160849637</v>
      </c>
      <c r="AA69" s="11">
        <v>0.41237343470330312</v>
      </c>
      <c r="AC69" s="11">
        <f t="shared" ref="AC69:AC132" si="31">(Y69+Z69)/2</f>
        <v>0.43373517345940366</v>
      </c>
      <c r="AD69" s="35" t="str">
        <f t="shared" ref="AD69:AD100" si="32">VLOOKUP(AC69,IoU_Thresholds,2,TRUE)</f>
        <v>IoU 50</v>
      </c>
      <c r="AE69" s="35" t="str">
        <f t="shared" ref="AE69:AE132" si="33">VLOOKUP(AA69,IoU_Thresholds,2,TRUE)</f>
        <v>IoU 50</v>
      </c>
      <c r="AG69" s="11">
        <v>2.8850390607517162E-2</v>
      </c>
      <c r="AH69" s="11">
        <v>0.44178942732080717</v>
      </c>
      <c r="AI69" s="11">
        <v>0.25872402178105047</v>
      </c>
      <c r="AK69" s="11">
        <f t="shared" ref="AK69:AK132" si="34">(AG69+AH69)/2</f>
        <v>0.23531990896416216</v>
      </c>
      <c r="AL69" s="35" t="str">
        <f t="shared" si="26"/>
        <v>IoU 25</v>
      </c>
      <c r="AM69" s="35" t="str">
        <f t="shared" ref="AM69:AM132" si="35">VLOOKUP(AI69,IoU_Thresholds,2,TRUE)</f>
        <v>IoU 50</v>
      </c>
    </row>
    <row r="70" spans="1:39" x14ac:dyDescent="0.2">
      <c r="A70" s="11">
        <v>0.24219686655428829</v>
      </c>
      <c r="C70" s="11">
        <v>0.49039453490396662</v>
      </c>
      <c r="E70" s="11" t="str">
        <f t="shared" si="24"/>
        <v>IoU 25</v>
      </c>
      <c r="G70" s="35" t="str">
        <f t="shared" si="19"/>
        <v>IoU 50</v>
      </c>
      <c r="I70" s="11">
        <v>0.2100949701511734</v>
      </c>
      <c r="J70" s="11">
        <v>0.85640604478350768</v>
      </c>
      <c r="K70" s="11">
        <v>0.48683928965091805</v>
      </c>
      <c r="M70" s="11">
        <f t="shared" si="27"/>
        <v>0.5332505074673406</v>
      </c>
      <c r="N70" s="35" t="str">
        <f t="shared" si="21"/>
        <v>IoU 75</v>
      </c>
      <c r="O70" s="35" t="str">
        <f t="shared" si="28"/>
        <v>IoU 50</v>
      </c>
      <c r="Q70" s="11">
        <v>0.5525810518743498</v>
      </c>
      <c r="R70" s="11">
        <v>0.36650213786009622</v>
      </c>
      <c r="S70" s="11">
        <v>0.26525699191160867</v>
      </c>
      <c r="U70" s="11">
        <f t="shared" si="29"/>
        <v>0.45954159486722301</v>
      </c>
      <c r="V70" s="35" t="str">
        <f t="shared" si="25"/>
        <v>IoU 50</v>
      </c>
      <c r="W70" s="35" t="str">
        <f t="shared" si="30"/>
        <v>IoU 50</v>
      </c>
      <c r="Y70" s="11">
        <v>0.22835760447912384</v>
      </c>
      <c r="Z70" s="11">
        <v>0.21791639732816204</v>
      </c>
      <c r="AA70" s="11">
        <v>0.46184759743349246</v>
      </c>
      <c r="AC70" s="11">
        <f t="shared" si="31"/>
        <v>0.22313700090364294</v>
      </c>
      <c r="AD70" s="35" t="str">
        <f t="shared" si="32"/>
        <v>IoU 25</v>
      </c>
      <c r="AE70" s="35" t="str">
        <f t="shared" si="33"/>
        <v>IoU 50</v>
      </c>
      <c r="AG70" s="11">
        <v>0.40166952477981155</v>
      </c>
      <c r="AH70" s="11">
        <v>0.53789819125940652</v>
      </c>
      <c r="AI70" s="11">
        <v>0.51127299840029272</v>
      </c>
      <c r="AK70" s="11">
        <f t="shared" si="34"/>
        <v>0.46978385801960904</v>
      </c>
      <c r="AL70" s="35" t="str">
        <f t="shared" si="26"/>
        <v>IoU 50</v>
      </c>
      <c r="AM70" s="35" t="str">
        <f t="shared" si="35"/>
        <v>IoU 75</v>
      </c>
    </row>
    <row r="71" spans="1:39" x14ac:dyDescent="0.2">
      <c r="A71" s="11">
        <v>0.16682186234817814</v>
      </c>
      <c r="C71" s="11">
        <v>0.25268870054686932</v>
      </c>
      <c r="E71" s="11" t="str">
        <f t="shared" si="24"/>
        <v>IoU 25</v>
      </c>
      <c r="G71" s="35" t="str">
        <f t="shared" si="19"/>
        <v>IoU 50</v>
      </c>
      <c r="I71" s="11">
        <v>0.13389378408472932</v>
      </c>
      <c r="J71" s="11">
        <v>0.71537533260868447</v>
      </c>
      <c r="K71" s="11">
        <v>0.35194471444150971</v>
      </c>
      <c r="M71" s="11">
        <f t="shared" si="27"/>
        <v>0.42463455834670688</v>
      </c>
      <c r="N71" s="35" t="str">
        <f t="shared" si="21"/>
        <v>IoU 50</v>
      </c>
      <c r="O71" s="35" t="str">
        <f t="shared" si="28"/>
        <v>IoU 50</v>
      </c>
      <c r="Q71" s="11">
        <v>0.39110795384807034</v>
      </c>
      <c r="R71" s="11">
        <v>0.47678036197962909</v>
      </c>
      <c r="S71" s="11">
        <v>0.42068397285066245</v>
      </c>
      <c r="U71" s="11">
        <f t="shared" si="29"/>
        <v>0.43394415791384972</v>
      </c>
      <c r="V71" s="35" t="str">
        <f t="shared" si="25"/>
        <v>IoU 50</v>
      </c>
      <c r="W71" s="35" t="str">
        <f t="shared" si="30"/>
        <v>IoU 50</v>
      </c>
      <c r="Y71" s="11">
        <v>0.52133914637978385</v>
      </c>
      <c r="Z71" s="11">
        <v>0.19433455061878677</v>
      </c>
      <c r="AA71" s="11">
        <v>0.56514207491755508</v>
      </c>
      <c r="AC71" s="11">
        <f t="shared" si="31"/>
        <v>0.35783684849928532</v>
      </c>
      <c r="AD71" s="35" t="str">
        <f t="shared" si="32"/>
        <v>IoU 50</v>
      </c>
      <c r="AE71" s="35" t="str">
        <f t="shared" si="33"/>
        <v>IoU 75</v>
      </c>
      <c r="AG71" s="11">
        <v>0</v>
      </c>
      <c r="AH71" s="11">
        <v>0.67393594552762881</v>
      </c>
      <c r="AI71" s="11">
        <v>0.36946470843686735</v>
      </c>
      <c r="AK71" s="11">
        <f t="shared" si="34"/>
        <v>0.33696797276381441</v>
      </c>
      <c r="AL71" s="35" t="str">
        <f t="shared" si="26"/>
        <v>IoU 50</v>
      </c>
      <c r="AM71" s="35" t="str">
        <f t="shared" si="35"/>
        <v>IoU 50</v>
      </c>
    </row>
    <row r="72" spans="1:39" x14ac:dyDescent="0.2">
      <c r="A72" s="11">
        <v>7.1748698492915763E-2</v>
      </c>
      <c r="C72" s="11">
        <v>1.4441773707034853E-4</v>
      </c>
      <c r="E72" s="11" t="str">
        <f t="shared" si="24"/>
        <v>IoU 25</v>
      </c>
      <c r="G72" s="35" t="str">
        <f t="shared" si="19"/>
        <v>IoU 25</v>
      </c>
      <c r="I72" s="11">
        <v>0.37927136827475888</v>
      </c>
      <c r="K72" s="11">
        <v>0.14976791148715773</v>
      </c>
      <c r="M72" s="11">
        <v>0.37927136827475888</v>
      </c>
      <c r="N72" s="35" t="str">
        <f t="shared" si="21"/>
        <v>IoU 50</v>
      </c>
      <c r="O72" s="35" t="str">
        <f t="shared" si="28"/>
        <v>IoU 25</v>
      </c>
      <c r="Q72" s="11">
        <v>0.16168853682579468</v>
      </c>
      <c r="R72" s="11">
        <v>0.21125943032353461</v>
      </c>
      <c r="S72" s="11">
        <v>0.39111237285172012</v>
      </c>
      <c r="U72" s="11">
        <f t="shared" si="29"/>
        <v>0.18647398357466466</v>
      </c>
      <c r="V72" s="35" t="str">
        <f t="shared" si="25"/>
        <v>IoU 25</v>
      </c>
      <c r="W72" s="35" t="str">
        <f t="shared" si="30"/>
        <v>IoU 50</v>
      </c>
      <c r="Y72" s="11">
        <v>0.23310281262876933</v>
      </c>
      <c r="Z72" s="11">
        <v>0.76718360047233891</v>
      </c>
      <c r="AA72" s="11">
        <v>0.40030480609451452</v>
      </c>
      <c r="AC72" s="11">
        <f t="shared" si="31"/>
        <v>0.50014320655055411</v>
      </c>
      <c r="AD72" s="35" t="str">
        <f t="shared" si="32"/>
        <v>IoU 75</v>
      </c>
      <c r="AE72" s="35" t="str">
        <f t="shared" si="33"/>
        <v>IoU 50</v>
      </c>
      <c r="AG72" s="11">
        <v>7.0278538077604244E-2</v>
      </c>
      <c r="AH72" s="11">
        <v>0.25353758619899874</v>
      </c>
      <c r="AI72" s="11">
        <v>0.19620398946623674</v>
      </c>
      <c r="AK72" s="11">
        <f t="shared" si="34"/>
        <v>0.1619080621383015</v>
      </c>
      <c r="AL72" s="35" t="str">
        <f t="shared" si="26"/>
        <v>IoU 25</v>
      </c>
      <c r="AM72" s="35" t="str">
        <f t="shared" si="35"/>
        <v>IoU 25</v>
      </c>
    </row>
    <row r="73" spans="1:39" x14ac:dyDescent="0.2">
      <c r="A73" s="11">
        <v>0.11135737390679286</v>
      </c>
      <c r="C73" s="11">
        <v>0.5028562451858839</v>
      </c>
      <c r="E73" s="11" t="str">
        <f t="shared" si="24"/>
        <v>IoU 25</v>
      </c>
      <c r="G73" s="35" t="str">
        <f t="shared" si="19"/>
        <v>IoU 75</v>
      </c>
      <c r="I73" s="11">
        <v>2.5144551489084531E-2</v>
      </c>
      <c r="J73" s="11">
        <v>0.44264456729655088</v>
      </c>
      <c r="K73" s="11">
        <v>0.11176140877764275</v>
      </c>
      <c r="M73" s="11">
        <f t="shared" si="27"/>
        <v>0.2338945593928177</v>
      </c>
      <c r="N73" s="35" t="str">
        <f t="shared" si="21"/>
        <v>IoU 25</v>
      </c>
      <c r="O73" s="35" t="str">
        <f t="shared" si="28"/>
        <v>IoU 25</v>
      </c>
      <c r="Q73" s="11">
        <v>0.15172298692926822</v>
      </c>
      <c r="R73" s="11">
        <v>0.65846113494324765</v>
      </c>
      <c r="S73" s="11">
        <v>0.43672668792590114</v>
      </c>
      <c r="U73" s="11">
        <f t="shared" si="29"/>
        <v>0.40509206093625794</v>
      </c>
      <c r="V73" s="35" t="str">
        <f t="shared" si="25"/>
        <v>IoU 50</v>
      </c>
      <c r="W73" s="35" t="str">
        <f t="shared" si="30"/>
        <v>IoU 50</v>
      </c>
      <c r="Z73" s="11">
        <v>0.4616589042676178</v>
      </c>
      <c r="AC73" s="11">
        <v>0.4616589042676178</v>
      </c>
      <c r="AD73" s="35" t="str">
        <f t="shared" si="32"/>
        <v>IoU 50</v>
      </c>
      <c r="AE73" s="35"/>
      <c r="AG73" s="11">
        <v>0</v>
      </c>
      <c r="AH73" s="11">
        <v>0.3920615505923728</v>
      </c>
      <c r="AI73" s="11">
        <v>0.34067013723656314</v>
      </c>
      <c r="AK73" s="11">
        <f t="shared" si="34"/>
        <v>0.1960307752961864</v>
      </c>
      <c r="AL73" s="35" t="str">
        <f t="shared" si="26"/>
        <v>IoU 25</v>
      </c>
      <c r="AM73" s="35" t="str">
        <f t="shared" si="35"/>
        <v>IoU 50</v>
      </c>
    </row>
    <row r="74" spans="1:39" x14ac:dyDescent="0.2">
      <c r="A74" s="11">
        <v>0.13558211984549934</v>
      </c>
      <c r="C74" s="11">
        <v>0.26180428205074735</v>
      </c>
      <c r="E74" s="11" t="str">
        <f t="shared" si="24"/>
        <v>IoU 25</v>
      </c>
      <c r="G74" s="35" t="str">
        <f t="shared" si="19"/>
        <v>IoU 50</v>
      </c>
      <c r="I74" s="11">
        <v>0.1843980343980344</v>
      </c>
      <c r="J74" s="11">
        <v>0.38701945373384994</v>
      </c>
      <c r="K74" s="11">
        <v>0.49978646262061543</v>
      </c>
      <c r="M74" s="11">
        <f t="shared" si="27"/>
        <v>0.28570874406594216</v>
      </c>
      <c r="N74" s="35" t="str">
        <f t="shared" si="21"/>
        <v>IoU 50</v>
      </c>
      <c r="O74" s="35" t="str">
        <f t="shared" si="28"/>
        <v>IoU 50</v>
      </c>
      <c r="Q74" s="11">
        <v>0.22336048198944755</v>
      </c>
      <c r="R74" s="11">
        <v>0.64002365998001753</v>
      </c>
      <c r="S74" s="11">
        <v>0.44116003160818795</v>
      </c>
      <c r="U74" s="11">
        <f t="shared" si="29"/>
        <v>0.43169207098473256</v>
      </c>
      <c r="V74" s="35" t="str">
        <f t="shared" si="25"/>
        <v>IoU 50</v>
      </c>
      <c r="W74" s="35" t="str">
        <f t="shared" si="30"/>
        <v>IoU 50</v>
      </c>
      <c r="Y74" s="11">
        <v>0.16240587659537353</v>
      </c>
      <c r="Z74" s="11">
        <v>0.71428575886304047</v>
      </c>
      <c r="AA74" s="11">
        <v>0.48892718700330151</v>
      </c>
      <c r="AC74" s="11">
        <f t="shared" si="31"/>
        <v>0.438345817729207</v>
      </c>
      <c r="AD74" s="35" t="str">
        <f t="shared" si="32"/>
        <v>IoU 50</v>
      </c>
      <c r="AE74" s="35" t="str">
        <f t="shared" si="33"/>
        <v>IoU 50</v>
      </c>
      <c r="AG74" s="11">
        <v>0.40153155577784883</v>
      </c>
      <c r="AH74" s="11">
        <v>0.38198681881805707</v>
      </c>
      <c r="AI74" s="11">
        <v>0.37717882558483767</v>
      </c>
      <c r="AK74" s="11">
        <f t="shared" si="34"/>
        <v>0.39175918729795295</v>
      </c>
      <c r="AL74" s="35" t="str">
        <f t="shared" si="26"/>
        <v>IoU 50</v>
      </c>
      <c r="AM74" s="35" t="str">
        <f t="shared" si="35"/>
        <v>IoU 50</v>
      </c>
    </row>
    <row r="75" spans="1:39" x14ac:dyDescent="0.2">
      <c r="A75" s="11">
        <v>0.20667563844827427</v>
      </c>
      <c r="C75" s="11">
        <v>0.10487172879803013</v>
      </c>
      <c r="E75" s="11" t="str">
        <f t="shared" si="24"/>
        <v>IoU 25</v>
      </c>
      <c r="G75" s="35" t="str">
        <f t="shared" si="19"/>
        <v>IoU 25</v>
      </c>
      <c r="I75" s="11">
        <v>0.45195141347934026</v>
      </c>
      <c r="J75" s="11">
        <v>0.58441365587933991</v>
      </c>
      <c r="K75" s="11">
        <v>0.33349606770435147</v>
      </c>
      <c r="M75" s="11">
        <f t="shared" si="27"/>
        <v>0.51818253467934006</v>
      </c>
      <c r="N75" s="35" t="str">
        <f t="shared" si="21"/>
        <v>IoU 75</v>
      </c>
      <c r="O75" s="35" t="str">
        <f t="shared" si="28"/>
        <v>IoU 50</v>
      </c>
      <c r="Q75" s="11">
        <v>8.3271898795568705E-2</v>
      </c>
      <c r="R75" s="11">
        <v>0.45260818120089619</v>
      </c>
      <c r="S75" s="11">
        <v>0.47503479641315216</v>
      </c>
      <c r="U75" s="11">
        <f t="shared" si="29"/>
        <v>0.26794003999823246</v>
      </c>
      <c r="V75" s="35" t="str">
        <f t="shared" si="25"/>
        <v>IoU 50</v>
      </c>
      <c r="W75" s="35" t="str">
        <f t="shared" si="30"/>
        <v>IoU 50</v>
      </c>
      <c r="Y75" s="11">
        <v>0.1808041504539559</v>
      </c>
      <c r="Z75" s="11">
        <v>0.66383434346852344</v>
      </c>
      <c r="AA75" s="11">
        <v>0.51484393470813805</v>
      </c>
      <c r="AC75" s="11">
        <f t="shared" si="31"/>
        <v>0.42231924696123968</v>
      </c>
      <c r="AD75" s="35" t="str">
        <f t="shared" si="32"/>
        <v>IoU 50</v>
      </c>
      <c r="AE75" s="35" t="str">
        <f t="shared" si="33"/>
        <v>IoU 75</v>
      </c>
      <c r="AG75" s="11">
        <v>3.6691515643472575E-2</v>
      </c>
      <c r="AH75" s="11">
        <v>0.40889670610909951</v>
      </c>
      <c r="AI75" s="11">
        <v>0.34512974652485956</v>
      </c>
      <c r="AK75" s="11">
        <f t="shared" si="34"/>
        <v>0.22279411087628603</v>
      </c>
      <c r="AL75" s="35" t="str">
        <f t="shared" si="26"/>
        <v>IoU 25</v>
      </c>
      <c r="AM75" s="35" t="str">
        <f t="shared" si="35"/>
        <v>IoU 50</v>
      </c>
    </row>
    <row r="76" spans="1:39" x14ac:dyDescent="0.2">
      <c r="A76" s="11">
        <v>0.51141090253094201</v>
      </c>
      <c r="C76" s="11">
        <v>9.879563349150447E-2</v>
      </c>
      <c r="E76" s="11" t="str">
        <f t="shared" si="24"/>
        <v>IoU 75</v>
      </c>
      <c r="G76" s="35" t="str">
        <f t="shared" si="19"/>
        <v>IoU 25</v>
      </c>
      <c r="J76" s="11">
        <v>0.1303132325482394</v>
      </c>
      <c r="K76" s="11">
        <v>0.2621580318872847</v>
      </c>
      <c r="M76" s="11">
        <v>0.1303132325482394</v>
      </c>
      <c r="N76" s="35" t="str">
        <f t="shared" si="21"/>
        <v>IoU 25</v>
      </c>
      <c r="O76" s="35" t="str">
        <f t="shared" si="28"/>
        <v>IoU 50</v>
      </c>
      <c r="Q76" s="11">
        <v>0.21200863770344874</v>
      </c>
      <c r="R76" s="11">
        <v>0.73583419297815778</v>
      </c>
      <c r="S76" s="11">
        <v>0.31099084928757165</v>
      </c>
      <c r="U76" s="11">
        <f t="shared" si="29"/>
        <v>0.47392141534080323</v>
      </c>
      <c r="V76" s="35" t="str">
        <f t="shared" si="25"/>
        <v>IoU 50</v>
      </c>
      <c r="W76" s="35" t="str">
        <f t="shared" si="30"/>
        <v>IoU 50</v>
      </c>
      <c r="Y76" s="11">
        <v>0.32133739853066745</v>
      </c>
      <c r="Z76" s="11">
        <v>0.78686939081628082</v>
      </c>
      <c r="AA76" s="11">
        <v>0.45693007918263351</v>
      </c>
      <c r="AC76" s="11">
        <f t="shared" si="31"/>
        <v>0.55410339467347414</v>
      </c>
      <c r="AD76" s="35" t="str">
        <f t="shared" si="32"/>
        <v>IoU 75</v>
      </c>
      <c r="AE76" s="35" t="str">
        <f t="shared" si="33"/>
        <v>IoU 50</v>
      </c>
      <c r="AG76" s="11">
        <v>0.21314510012223575</v>
      </c>
      <c r="AH76" s="11">
        <v>0.5804179960071808</v>
      </c>
      <c r="AI76" s="11">
        <v>0.51651984921995209</v>
      </c>
      <c r="AK76" s="11">
        <f t="shared" si="34"/>
        <v>0.39678154806470828</v>
      </c>
      <c r="AL76" s="35" t="str">
        <f t="shared" si="26"/>
        <v>IoU 50</v>
      </c>
      <c r="AM76" s="35" t="str">
        <f t="shared" si="35"/>
        <v>IoU 75</v>
      </c>
    </row>
    <row r="77" spans="1:39" x14ac:dyDescent="0.2">
      <c r="C77" s="11">
        <v>0.58039503938729331</v>
      </c>
      <c r="E77" s="11" t="str">
        <f t="shared" si="24"/>
        <v>IoU 25</v>
      </c>
      <c r="G77" s="35" t="str">
        <f t="shared" si="19"/>
        <v>IoU 75</v>
      </c>
      <c r="I77" s="11">
        <v>0.35761357389300713</v>
      </c>
      <c r="J77" s="11">
        <v>0.2179595458530223</v>
      </c>
      <c r="K77" s="11">
        <v>0.34218848197557794</v>
      </c>
      <c r="M77" s="11">
        <f t="shared" si="27"/>
        <v>0.28778655987301471</v>
      </c>
      <c r="N77" s="35" t="str">
        <f t="shared" si="21"/>
        <v>IoU 50</v>
      </c>
      <c r="O77" s="35" t="str">
        <f t="shared" si="28"/>
        <v>IoU 50</v>
      </c>
      <c r="Q77" s="11">
        <v>0.20241075636192271</v>
      </c>
      <c r="R77" s="11">
        <v>0.80450390239103675</v>
      </c>
      <c r="S77" s="11">
        <v>0.3032147120582096</v>
      </c>
      <c r="U77" s="11">
        <f t="shared" si="29"/>
        <v>0.50345732937647969</v>
      </c>
      <c r="V77" s="35" t="str">
        <f t="shared" si="25"/>
        <v>IoU 75</v>
      </c>
      <c r="W77" s="35" t="str">
        <f t="shared" si="30"/>
        <v>IoU 50</v>
      </c>
      <c r="Z77" s="11">
        <v>0.34169309369465473</v>
      </c>
      <c r="AA77" s="11">
        <v>0.43166836366102435</v>
      </c>
      <c r="AC77" s="11">
        <v>0.34169309369465473</v>
      </c>
      <c r="AD77" s="35" t="str">
        <f t="shared" si="32"/>
        <v>IoU 50</v>
      </c>
      <c r="AE77" s="35" t="str">
        <f t="shared" si="33"/>
        <v>IoU 50</v>
      </c>
      <c r="AG77" s="11">
        <v>0.4351849047688513</v>
      </c>
      <c r="AH77" s="11">
        <v>0.39135651744896516</v>
      </c>
      <c r="AI77" s="11">
        <v>0.22593998191131975</v>
      </c>
      <c r="AK77" s="11">
        <f t="shared" si="34"/>
        <v>0.41327071110890823</v>
      </c>
      <c r="AL77" s="35" t="str">
        <f t="shared" si="26"/>
        <v>IoU 50</v>
      </c>
      <c r="AM77" s="35" t="str">
        <f t="shared" si="35"/>
        <v>IoU 25</v>
      </c>
    </row>
    <row r="78" spans="1:39" x14ac:dyDescent="0.2">
      <c r="A78" s="11">
        <v>0.56904644614067479</v>
      </c>
      <c r="C78" s="11">
        <v>0.44084644530440931</v>
      </c>
      <c r="E78" s="11" t="str">
        <f t="shared" si="24"/>
        <v>IoU 75</v>
      </c>
      <c r="G78" s="35" t="str">
        <f t="shared" si="19"/>
        <v>IoU 50</v>
      </c>
      <c r="I78" s="11">
        <v>0.42674245590077375</v>
      </c>
      <c r="J78" s="11">
        <v>0.56120799270919086</v>
      </c>
      <c r="K78" s="11">
        <v>0.42351983727223086</v>
      </c>
      <c r="M78" s="11">
        <f t="shared" si="27"/>
        <v>0.49397522430498231</v>
      </c>
      <c r="N78" s="35" t="str">
        <f t="shared" si="21"/>
        <v>IoU 50</v>
      </c>
      <c r="O78" s="35" t="str">
        <f t="shared" si="28"/>
        <v>IoU 50</v>
      </c>
      <c r="Q78" s="11">
        <v>0</v>
      </c>
      <c r="R78" s="11">
        <v>0.3886310942180865</v>
      </c>
      <c r="S78" s="11">
        <v>0.47247349773568786</v>
      </c>
      <c r="U78" s="11">
        <f t="shared" si="29"/>
        <v>0.19431554710904325</v>
      </c>
      <c r="V78" s="35" t="str">
        <f t="shared" si="25"/>
        <v>IoU 25</v>
      </c>
      <c r="W78" s="35" t="str">
        <f t="shared" si="30"/>
        <v>IoU 50</v>
      </c>
      <c r="Y78" s="11">
        <v>7.3194571572402709E-2</v>
      </c>
      <c r="Z78" s="11">
        <v>0.20926709668980897</v>
      </c>
      <c r="AA78" s="11">
        <v>0.41604447360088231</v>
      </c>
      <c r="AC78" s="11">
        <f t="shared" si="31"/>
        <v>0.14123083413110585</v>
      </c>
      <c r="AD78" s="35" t="str">
        <f t="shared" si="32"/>
        <v>IoU 25</v>
      </c>
      <c r="AE78" s="35" t="str">
        <f t="shared" si="33"/>
        <v>IoU 50</v>
      </c>
      <c r="AG78" s="11">
        <v>7.7973225207906647E-3</v>
      </c>
      <c r="AH78" s="11">
        <v>0.50912248875074539</v>
      </c>
      <c r="AI78" s="11">
        <v>0.45019443994827091</v>
      </c>
      <c r="AK78" s="11">
        <f t="shared" si="34"/>
        <v>0.25845990563576804</v>
      </c>
      <c r="AL78" s="35" t="str">
        <f t="shared" si="26"/>
        <v>IoU 50</v>
      </c>
      <c r="AM78" s="35" t="str">
        <f t="shared" si="35"/>
        <v>IoU 50</v>
      </c>
    </row>
    <row r="79" spans="1:39" x14ac:dyDescent="0.2">
      <c r="C79" s="11">
        <v>0.31506905789701722</v>
      </c>
      <c r="E79" s="11" t="str">
        <f t="shared" si="24"/>
        <v>IoU 25</v>
      </c>
      <c r="G79" s="35" t="str">
        <f t="shared" si="19"/>
        <v>IoU 50</v>
      </c>
      <c r="J79" s="11">
        <v>0.2226774193548387</v>
      </c>
      <c r="K79" s="11">
        <v>0.25014083201125625</v>
      </c>
      <c r="M79" s="11">
        <v>0.2226774193548387</v>
      </c>
      <c r="N79" s="35" t="str">
        <f t="shared" si="21"/>
        <v>IoU 25</v>
      </c>
      <c r="O79" s="35" t="str">
        <f t="shared" si="28"/>
        <v>IoU 50</v>
      </c>
      <c r="Q79" s="11">
        <v>0.34206196932644439</v>
      </c>
      <c r="R79" s="11">
        <v>0.40155507232898002</v>
      </c>
      <c r="S79" s="11">
        <v>0.49091874096529764</v>
      </c>
      <c r="U79" s="11">
        <f t="shared" si="29"/>
        <v>0.37180852082771221</v>
      </c>
      <c r="V79" s="35" t="str">
        <f t="shared" si="25"/>
        <v>IoU 50</v>
      </c>
      <c r="W79" s="35" t="str">
        <f t="shared" si="30"/>
        <v>IoU 50</v>
      </c>
      <c r="Y79" s="11">
        <v>0.32507504296277479</v>
      </c>
      <c r="AA79" s="11">
        <v>0.32289300759175604</v>
      </c>
      <c r="AC79" s="11">
        <v>0.32507504296277479</v>
      </c>
      <c r="AD79" s="35" t="str">
        <f t="shared" si="32"/>
        <v>IoU 50</v>
      </c>
      <c r="AE79" s="35" t="str">
        <f t="shared" si="33"/>
        <v>IoU 50</v>
      </c>
      <c r="AG79" s="11">
        <v>0.21772446782959162</v>
      </c>
      <c r="AH79" s="11">
        <v>0.66472695246765623</v>
      </c>
      <c r="AI79" s="11">
        <v>0.26250524927816998</v>
      </c>
      <c r="AK79" s="11">
        <f t="shared" si="34"/>
        <v>0.44122571014862394</v>
      </c>
      <c r="AL79" s="35" t="str">
        <f t="shared" si="26"/>
        <v>IoU 50</v>
      </c>
      <c r="AM79" s="35" t="str">
        <f t="shared" si="35"/>
        <v>IoU 50</v>
      </c>
    </row>
    <row r="80" spans="1:39" x14ac:dyDescent="0.2">
      <c r="A80" s="11">
        <v>0.52625663813464374</v>
      </c>
      <c r="C80" s="11">
        <v>0.1218013037165344</v>
      </c>
      <c r="E80" s="11" t="str">
        <f t="shared" si="24"/>
        <v>IoU 75</v>
      </c>
      <c r="G80" s="35" t="str">
        <f t="shared" si="19"/>
        <v>IoU 25</v>
      </c>
      <c r="I80" s="11">
        <v>0</v>
      </c>
      <c r="J80" s="11">
        <v>0.20743507044644371</v>
      </c>
      <c r="K80" s="11">
        <v>0.4012868133556709</v>
      </c>
      <c r="M80" s="11">
        <f t="shared" si="27"/>
        <v>0.10371753522322186</v>
      </c>
      <c r="N80" s="35" t="str">
        <f t="shared" si="21"/>
        <v>IoU 25</v>
      </c>
      <c r="O80" s="35" t="str">
        <f t="shared" si="28"/>
        <v>IoU 50</v>
      </c>
      <c r="Q80" s="11">
        <v>0.39569893671437972</v>
      </c>
      <c r="R80" s="11">
        <v>0.41035336575447157</v>
      </c>
      <c r="S80" s="11">
        <v>0.27111782257654604</v>
      </c>
      <c r="U80" s="11">
        <f t="shared" si="29"/>
        <v>0.40302615123442564</v>
      </c>
      <c r="V80" s="35" t="str">
        <f t="shared" si="25"/>
        <v>IoU 50</v>
      </c>
      <c r="W80" s="35" t="str">
        <f t="shared" si="30"/>
        <v>IoU 50</v>
      </c>
      <c r="Y80" s="11">
        <v>0.34317181147538511</v>
      </c>
      <c r="Z80" s="11">
        <v>0.79808274412006086</v>
      </c>
      <c r="AA80" s="11">
        <v>0.61518588650134787</v>
      </c>
      <c r="AC80" s="11">
        <f t="shared" si="31"/>
        <v>0.57062727779772304</v>
      </c>
      <c r="AD80" s="35" t="str">
        <f t="shared" si="32"/>
        <v>IoU 75</v>
      </c>
      <c r="AE80" s="35" t="str">
        <f t="shared" si="33"/>
        <v>IoU 75</v>
      </c>
      <c r="AG80" s="11">
        <v>0.25786379202012299</v>
      </c>
      <c r="AH80" s="11">
        <v>0.50218963245540615</v>
      </c>
      <c r="AI80" s="11">
        <v>0.55127469971450815</v>
      </c>
      <c r="AK80" s="11">
        <f t="shared" si="34"/>
        <v>0.38002671223776457</v>
      </c>
      <c r="AL80" s="35" t="str">
        <f t="shared" si="26"/>
        <v>IoU 50</v>
      </c>
      <c r="AM80" s="35" t="str">
        <f t="shared" si="35"/>
        <v>IoU 75</v>
      </c>
    </row>
    <row r="81" spans="1:39" x14ac:dyDescent="0.2">
      <c r="A81" s="11">
        <v>0.54383893768738933</v>
      </c>
      <c r="C81" s="11">
        <v>0.53092901040670892</v>
      </c>
      <c r="E81" s="11" t="str">
        <f t="shared" si="24"/>
        <v>IoU 75</v>
      </c>
      <c r="G81" s="35" t="str">
        <f t="shared" si="19"/>
        <v>IoU 75</v>
      </c>
      <c r="K81" s="11">
        <v>0.31227177995109434</v>
      </c>
      <c r="N81" s="35"/>
      <c r="O81" s="35" t="str">
        <f t="shared" si="28"/>
        <v>IoU 50</v>
      </c>
      <c r="Q81" s="11">
        <v>0.4370867920703273</v>
      </c>
      <c r="R81" s="11">
        <v>0.39956008709599233</v>
      </c>
      <c r="S81" s="11">
        <v>0.31849587494111736</v>
      </c>
      <c r="U81" s="11">
        <f t="shared" si="29"/>
        <v>0.41832343958315982</v>
      </c>
      <c r="V81" s="35" t="str">
        <f t="shared" si="25"/>
        <v>IoU 50</v>
      </c>
      <c r="W81" s="35" t="str">
        <f t="shared" si="30"/>
        <v>IoU 50</v>
      </c>
      <c r="Y81" s="11">
        <v>0.40822625611554597</v>
      </c>
      <c r="Z81" s="11">
        <v>0.15861592488735812</v>
      </c>
      <c r="AA81" s="11">
        <v>0.54488719299131849</v>
      </c>
      <c r="AC81" s="11">
        <f t="shared" si="31"/>
        <v>0.28342109050145203</v>
      </c>
      <c r="AD81" s="35" t="str">
        <f t="shared" si="32"/>
        <v>IoU 50</v>
      </c>
      <c r="AE81" s="35" t="str">
        <f t="shared" si="33"/>
        <v>IoU 75</v>
      </c>
      <c r="AG81" s="11">
        <v>0.11014052771122862</v>
      </c>
      <c r="AH81" s="11">
        <v>0.19826912339475153</v>
      </c>
      <c r="AI81" s="11">
        <v>0.45416986799937004</v>
      </c>
      <c r="AK81" s="11">
        <f t="shared" si="34"/>
        <v>0.15420482555299009</v>
      </c>
      <c r="AL81" s="35" t="str">
        <f t="shared" si="26"/>
        <v>IoU 25</v>
      </c>
      <c r="AM81" s="35" t="str">
        <f t="shared" si="35"/>
        <v>IoU 50</v>
      </c>
    </row>
    <row r="82" spans="1:39" x14ac:dyDescent="0.2">
      <c r="A82" s="11">
        <v>0.4334705040554514</v>
      </c>
      <c r="C82" s="11">
        <v>4.5394613331689038E-2</v>
      </c>
      <c r="E82" s="11" t="str">
        <f t="shared" si="24"/>
        <v>IoU 50</v>
      </c>
      <c r="G82" s="35" t="str">
        <f t="shared" si="19"/>
        <v>IoU 25</v>
      </c>
      <c r="I82" s="11">
        <v>0.40641289263869229</v>
      </c>
      <c r="J82" s="11">
        <v>0.21259925268566091</v>
      </c>
      <c r="K82" s="11">
        <v>0.3994615574062218</v>
      </c>
      <c r="M82" s="11">
        <f t="shared" si="27"/>
        <v>0.30950607266217661</v>
      </c>
      <c r="N82" s="35" t="str">
        <f t="shared" ref="N82:N113" si="36">VLOOKUP(M82,IoU_Thresholds,2,TRUE)</f>
        <v>IoU 50</v>
      </c>
      <c r="O82" s="35" t="str">
        <f t="shared" si="28"/>
        <v>IoU 50</v>
      </c>
      <c r="Q82" s="11">
        <v>0.42554949379796064</v>
      </c>
      <c r="R82" s="11">
        <v>0.34704366540286613</v>
      </c>
      <c r="S82" s="11">
        <v>0.35433177252384784</v>
      </c>
      <c r="U82" s="11">
        <f t="shared" si="29"/>
        <v>0.38629657960041341</v>
      </c>
      <c r="V82" s="35" t="str">
        <f t="shared" si="25"/>
        <v>IoU 50</v>
      </c>
      <c r="W82" s="35" t="str">
        <f t="shared" si="30"/>
        <v>IoU 50</v>
      </c>
      <c r="Y82" s="11">
        <v>0.22349284566333458</v>
      </c>
      <c r="Z82" s="11">
        <v>0.71235472486649432</v>
      </c>
      <c r="AA82" s="11">
        <v>0.53832126912090306</v>
      </c>
      <c r="AC82" s="11">
        <f t="shared" si="31"/>
        <v>0.46792378526491446</v>
      </c>
      <c r="AD82" s="35" t="str">
        <f t="shared" si="32"/>
        <v>IoU 50</v>
      </c>
      <c r="AE82" s="35" t="str">
        <f t="shared" si="33"/>
        <v>IoU 75</v>
      </c>
      <c r="AG82" s="11">
        <v>0</v>
      </c>
      <c r="AH82" s="11">
        <v>0.22108695169064035</v>
      </c>
      <c r="AI82" s="11">
        <v>0.23090811097107827</v>
      </c>
      <c r="AK82" s="11">
        <f t="shared" si="34"/>
        <v>0.11054347584532018</v>
      </c>
      <c r="AL82" s="35" t="str">
        <f t="shared" si="26"/>
        <v>IoU 25</v>
      </c>
      <c r="AM82" s="35" t="str">
        <f t="shared" si="35"/>
        <v>IoU 25</v>
      </c>
    </row>
    <row r="83" spans="1:39" x14ac:dyDescent="0.2">
      <c r="A83" s="11">
        <v>0.71441844823356171</v>
      </c>
      <c r="C83" s="11">
        <v>0.21206001237299327</v>
      </c>
      <c r="E83" s="11" t="str">
        <f t="shared" si="24"/>
        <v>IoU 75</v>
      </c>
      <c r="G83" s="35" t="str">
        <f t="shared" si="19"/>
        <v>IoU 25</v>
      </c>
      <c r="I83" s="11">
        <v>6.8092416425829194E-2</v>
      </c>
      <c r="J83" s="11">
        <v>0.19799828890367613</v>
      </c>
      <c r="K83" s="11">
        <v>0.47710721650116283</v>
      </c>
      <c r="M83" s="11">
        <f t="shared" si="27"/>
        <v>0.13304535266475265</v>
      </c>
      <c r="N83" s="35" t="str">
        <f t="shared" si="36"/>
        <v>IoU 25</v>
      </c>
      <c r="O83" s="35" t="str">
        <f t="shared" si="28"/>
        <v>IoU 50</v>
      </c>
      <c r="Q83" s="11">
        <v>0.3718455682476775</v>
      </c>
      <c r="R83" s="11">
        <v>0.39789608277634314</v>
      </c>
      <c r="S83" s="11">
        <v>0.48927174764093356</v>
      </c>
      <c r="U83" s="11">
        <f t="shared" si="29"/>
        <v>0.38487082551201035</v>
      </c>
      <c r="V83" s="35" t="str">
        <f t="shared" si="25"/>
        <v>IoU 50</v>
      </c>
      <c r="W83" s="35" t="str">
        <f t="shared" si="30"/>
        <v>IoU 50</v>
      </c>
      <c r="Y83" s="11">
        <v>0.36548001094685845</v>
      </c>
      <c r="Z83" s="11">
        <v>0.21461008145595012</v>
      </c>
      <c r="AA83" s="11">
        <v>0.38508740761003246</v>
      </c>
      <c r="AC83" s="11">
        <f t="shared" si="31"/>
        <v>0.29004504620140426</v>
      </c>
      <c r="AD83" s="35" t="str">
        <f t="shared" si="32"/>
        <v>IoU 50</v>
      </c>
      <c r="AE83" s="35" t="str">
        <f t="shared" si="33"/>
        <v>IoU 50</v>
      </c>
      <c r="AG83" s="11">
        <v>0.17526455322864751</v>
      </c>
      <c r="AH83" s="11">
        <v>0.22465458870893951</v>
      </c>
      <c r="AI83" s="11">
        <v>0.24167224858081088</v>
      </c>
      <c r="AK83" s="11">
        <f t="shared" si="34"/>
        <v>0.19995957096879352</v>
      </c>
      <c r="AL83" s="35" t="str">
        <f t="shared" si="26"/>
        <v>IoU 25</v>
      </c>
      <c r="AM83" s="35" t="str">
        <f t="shared" si="35"/>
        <v>IoU 25</v>
      </c>
    </row>
    <row r="84" spans="1:39" x14ac:dyDescent="0.2">
      <c r="C84" s="11">
        <v>0.42750669184804763</v>
      </c>
      <c r="E84" s="11" t="str">
        <f t="shared" si="24"/>
        <v>IoU 25</v>
      </c>
      <c r="G84" s="35" t="str">
        <f t="shared" ref="G84:G147" si="37">VLOOKUP(C84,IoU_Thresholds,2,TRUE)</f>
        <v>IoU 50</v>
      </c>
      <c r="I84" s="11">
        <v>9.8215765701035351E-2</v>
      </c>
      <c r="J84" s="11">
        <v>0</v>
      </c>
      <c r="K84" s="11">
        <v>0.39264403840281498</v>
      </c>
      <c r="M84" s="11">
        <f t="shared" si="27"/>
        <v>4.9107882850517676E-2</v>
      </c>
      <c r="N84" s="35" t="str">
        <f t="shared" si="36"/>
        <v>IoU 25</v>
      </c>
      <c r="O84" s="35" t="str">
        <f t="shared" si="28"/>
        <v>IoU 50</v>
      </c>
      <c r="Q84" s="11">
        <v>0.53408479411263543</v>
      </c>
      <c r="R84" s="11">
        <v>0.44639030538510355</v>
      </c>
      <c r="S84" s="11">
        <v>0.26754263828121183</v>
      </c>
      <c r="U84" s="11">
        <f t="shared" si="29"/>
        <v>0.49023754974886946</v>
      </c>
      <c r="V84" s="35" t="str">
        <f t="shared" si="25"/>
        <v>IoU 50</v>
      </c>
      <c r="W84" s="35" t="str">
        <f t="shared" si="30"/>
        <v>IoU 50</v>
      </c>
      <c r="Y84" s="11">
        <v>0.16263846928499495</v>
      </c>
      <c r="Z84" s="11">
        <v>0.39274434682457332</v>
      </c>
      <c r="AA84" s="11">
        <v>0.34808261165669985</v>
      </c>
      <c r="AC84" s="11">
        <f t="shared" si="31"/>
        <v>0.27769140805478415</v>
      </c>
      <c r="AD84" s="35" t="str">
        <f t="shared" si="32"/>
        <v>IoU 50</v>
      </c>
      <c r="AE84" s="35" t="str">
        <f t="shared" si="33"/>
        <v>IoU 50</v>
      </c>
      <c r="AG84" s="11">
        <v>0.35903074792510148</v>
      </c>
      <c r="AH84" s="11">
        <v>0.5778927779330929</v>
      </c>
      <c r="AI84" s="11">
        <v>0.42567674340192585</v>
      </c>
      <c r="AK84" s="11">
        <f t="shared" si="34"/>
        <v>0.46846176292909719</v>
      </c>
      <c r="AL84" s="35" t="str">
        <f t="shared" si="26"/>
        <v>IoU 50</v>
      </c>
      <c r="AM84" s="35" t="str">
        <f t="shared" si="35"/>
        <v>IoU 50</v>
      </c>
    </row>
    <row r="85" spans="1:39" x14ac:dyDescent="0.2">
      <c r="C85" s="11">
        <v>0.32719656826531962</v>
      </c>
      <c r="E85" s="11" t="str">
        <f t="shared" si="24"/>
        <v>IoU 25</v>
      </c>
      <c r="G85" s="35" t="str">
        <f t="shared" si="37"/>
        <v>IoU 50</v>
      </c>
      <c r="I85" s="11">
        <v>0.55317774384521934</v>
      </c>
      <c r="J85" s="11">
        <v>0.42282379423239147</v>
      </c>
      <c r="K85" s="11">
        <v>0.35646054646500375</v>
      </c>
      <c r="M85" s="11">
        <f t="shared" si="27"/>
        <v>0.4880007690388054</v>
      </c>
      <c r="N85" s="35" t="str">
        <f t="shared" si="36"/>
        <v>IoU 50</v>
      </c>
      <c r="O85" s="35" t="str">
        <f t="shared" si="28"/>
        <v>IoU 50</v>
      </c>
      <c r="Q85" s="11">
        <v>0.21027577629914113</v>
      </c>
      <c r="R85" s="11">
        <v>0.75011167436517412</v>
      </c>
      <c r="S85" s="11">
        <v>0.551861183918264</v>
      </c>
      <c r="U85" s="11">
        <f t="shared" si="29"/>
        <v>0.48019372533215765</v>
      </c>
      <c r="V85" s="35" t="str">
        <f t="shared" si="25"/>
        <v>IoU 50</v>
      </c>
      <c r="W85" s="35" t="str">
        <f t="shared" si="30"/>
        <v>IoU 75</v>
      </c>
      <c r="Y85" s="11">
        <v>0.12373110144835701</v>
      </c>
      <c r="AA85" s="11">
        <v>0.53271811723436557</v>
      </c>
      <c r="AC85" s="11">
        <v>0.12373110144835701</v>
      </c>
      <c r="AD85" s="35" t="str">
        <f t="shared" si="32"/>
        <v>IoU 25</v>
      </c>
      <c r="AE85" s="35" t="str">
        <f t="shared" si="33"/>
        <v>IoU 75</v>
      </c>
      <c r="AG85" s="11">
        <v>0.23195427521382617</v>
      </c>
      <c r="AH85" s="11">
        <v>0.76483249718290303</v>
      </c>
      <c r="AI85" s="11">
        <v>0.32960848223871297</v>
      </c>
      <c r="AK85" s="11">
        <f t="shared" si="34"/>
        <v>0.4983933861983646</v>
      </c>
      <c r="AL85" s="35" t="str">
        <f t="shared" si="26"/>
        <v>IoU 50</v>
      </c>
      <c r="AM85" s="35" t="str">
        <f t="shared" si="35"/>
        <v>IoU 50</v>
      </c>
    </row>
    <row r="86" spans="1:39" x14ac:dyDescent="0.2">
      <c r="A86" s="11">
        <v>0.20494545286182306</v>
      </c>
      <c r="C86" s="11">
        <v>0.42805426201683383</v>
      </c>
      <c r="E86" s="11" t="str">
        <f t="shared" si="24"/>
        <v>IoU 25</v>
      </c>
      <c r="G86" s="35" t="str">
        <f t="shared" si="37"/>
        <v>IoU 50</v>
      </c>
      <c r="I86" s="11">
        <v>0</v>
      </c>
      <c r="J86" s="11">
        <v>0.2135187896534895</v>
      </c>
      <c r="K86" s="11">
        <v>0.34118317109611318</v>
      </c>
      <c r="M86" s="11">
        <f t="shared" si="27"/>
        <v>0.10675939482674475</v>
      </c>
      <c r="N86" s="35" t="str">
        <f t="shared" si="36"/>
        <v>IoU 25</v>
      </c>
      <c r="O86" s="35" t="str">
        <f t="shared" si="28"/>
        <v>IoU 50</v>
      </c>
      <c r="Q86" s="11">
        <v>0.21709928035704062</v>
      </c>
      <c r="R86" s="11">
        <v>0.84440804594014907</v>
      </c>
      <c r="S86" s="11">
        <v>0.47082799889810423</v>
      </c>
      <c r="U86" s="11">
        <f t="shared" si="29"/>
        <v>0.53075366314859485</v>
      </c>
      <c r="V86" s="35" t="str">
        <f t="shared" si="25"/>
        <v>IoU 75</v>
      </c>
      <c r="W86" s="35" t="str">
        <f t="shared" si="30"/>
        <v>IoU 50</v>
      </c>
      <c r="Y86" s="11">
        <v>0.27654033451734805</v>
      </c>
      <c r="Z86" s="11">
        <v>0.78135197461844652</v>
      </c>
      <c r="AA86" s="11">
        <v>0.42869658435267788</v>
      </c>
      <c r="AC86" s="11">
        <f t="shared" si="31"/>
        <v>0.52894615456789729</v>
      </c>
      <c r="AD86" s="35" t="str">
        <f t="shared" si="32"/>
        <v>IoU 75</v>
      </c>
      <c r="AE86" s="35" t="str">
        <f t="shared" si="33"/>
        <v>IoU 50</v>
      </c>
      <c r="AG86" s="11">
        <v>0</v>
      </c>
      <c r="AH86" s="11">
        <v>0.25998461338980783</v>
      </c>
      <c r="AI86" s="11">
        <v>0.33113748003438548</v>
      </c>
      <c r="AK86" s="11">
        <f t="shared" si="34"/>
        <v>0.12999230669490391</v>
      </c>
      <c r="AL86" s="35" t="str">
        <f t="shared" si="26"/>
        <v>IoU 25</v>
      </c>
      <c r="AM86" s="35" t="str">
        <f t="shared" si="35"/>
        <v>IoU 50</v>
      </c>
    </row>
    <row r="87" spans="1:39" x14ac:dyDescent="0.2">
      <c r="A87" s="11">
        <v>0.21187595512147187</v>
      </c>
      <c r="C87" s="11">
        <v>0.52630361052872243</v>
      </c>
      <c r="E87" s="11" t="str">
        <f t="shared" si="24"/>
        <v>IoU 25</v>
      </c>
      <c r="G87" s="35" t="str">
        <f t="shared" si="37"/>
        <v>IoU 75</v>
      </c>
      <c r="I87" s="11">
        <v>0.32971010070186729</v>
      </c>
      <c r="J87" s="11">
        <v>0.41199701928213439</v>
      </c>
      <c r="K87" s="11">
        <v>0.61716450021673341</v>
      </c>
      <c r="M87" s="11">
        <f t="shared" si="27"/>
        <v>0.37085355999200087</v>
      </c>
      <c r="N87" s="35" t="str">
        <f t="shared" si="36"/>
        <v>IoU 50</v>
      </c>
      <c r="O87" s="35" t="str">
        <f t="shared" si="28"/>
        <v>IoU 75</v>
      </c>
      <c r="R87" s="11">
        <v>0.76115058442636407</v>
      </c>
      <c r="S87" s="11">
        <v>0.43320497061632313</v>
      </c>
      <c r="U87" s="11">
        <v>0.76115058442636407</v>
      </c>
      <c r="V87" s="35" t="str">
        <f t="shared" si="25"/>
        <v>IoU 100</v>
      </c>
      <c r="W87" s="35" t="str">
        <f t="shared" si="30"/>
        <v>IoU 50</v>
      </c>
      <c r="Z87" s="11">
        <v>8.5855648439704391E-2</v>
      </c>
      <c r="AA87" s="11">
        <v>0.3106911286712834</v>
      </c>
      <c r="AC87" s="11">
        <v>8.5855648439704391E-2</v>
      </c>
      <c r="AD87" s="35" t="str">
        <f t="shared" si="32"/>
        <v>IoU 25</v>
      </c>
      <c r="AE87" s="35" t="str">
        <f t="shared" si="33"/>
        <v>IoU 50</v>
      </c>
      <c r="AG87" s="11">
        <v>0.21428685284366233</v>
      </c>
      <c r="AH87" s="11">
        <v>0.38027543363783928</v>
      </c>
      <c r="AI87" s="11">
        <v>0.3164280384164877</v>
      </c>
      <c r="AK87" s="11">
        <f t="shared" si="34"/>
        <v>0.29728114324075083</v>
      </c>
      <c r="AL87" s="35" t="str">
        <f t="shared" si="26"/>
        <v>IoU 50</v>
      </c>
      <c r="AM87" s="35" t="str">
        <f t="shared" si="35"/>
        <v>IoU 50</v>
      </c>
    </row>
    <row r="88" spans="1:39" x14ac:dyDescent="0.2">
      <c r="A88" s="11">
        <v>0.35080943397589215</v>
      </c>
      <c r="C88" s="11">
        <v>0.25548260055850092</v>
      </c>
      <c r="E88" s="11" t="str">
        <f t="shared" si="24"/>
        <v>IoU 50</v>
      </c>
      <c r="G88" s="35" t="str">
        <f t="shared" si="37"/>
        <v>IoU 50</v>
      </c>
      <c r="I88" s="11">
        <v>0.39406786394694204</v>
      </c>
      <c r="J88" s="11">
        <v>0</v>
      </c>
      <c r="K88" s="11">
        <v>0.37264805859099254</v>
      </c>
      <c r="M88" s="11">
        <f t="shared" si="27"/>
        <v>0.19703393197347102</v>
      </c>
      <c r="N88" s="35" t="str">
        <f t="shared" si="36"/>
        <v>IoU 25</v>
      </c>
      <c r="O88" s="35" t="str">
        <f t="shared" si="28"/>
        <v>IoU 50</v>
      </c>
      <c r="Q88" s="11">
        <v>0.57300569964333348</v>
      </c>
      <c r="R88" s="11">
        <v>0</v>
      </c>
      <c r="S88" s="11">
        <v>0.25746866311125494</v>
      </c>
      <c r="U88" s="11">
        <f t="shared" si="29"/>
        <v>0.28650284982166674</v>
      </c>
      <c r="V88" s="35" t="str">
        <f t="shared" si="25"/>
        <v>IoU 50</v>
      </c>
      <c r="W88" s="35" t="str">
        <f t="shared" si="30"/>
        <v>IoU 50</v>
      </c>
      <c r="Y88" s="11">
        <v>2.3078602098244135E-2</v>
      </c>
      <c r="Z88" s="11">
        <v>0.85958197115491242</v>
      </c>
      <c r="AA88" s="11">
        <v>0.56666365996152723</v>
      </c>
      <c r="AC88" s="11">
        <f t="shared" si="31"/>
        <v>0.44133028662657825</v>
      </c>
      <c r="AD88" s="35" t="str">
        <f t="shared" si="32"/>
        <v>IoU 50</v>
      </c>
      <c r="AE88" s="35" t="str">
        <f t="shared" si="33"/>
        <v>IoU 75</v>
      </c>
      <c r="AG88" s="11">
        <v>0.3946805522350697</v>
      </c>
      <c r="AH88" s="11">
        <v>0.76597635976624223</v>
      </c>
      <c r="AI88" s="11">
        <v>0.37054917146359212</v>
      </c>
      <c r="AK88" s="11">
        <f t="shared" si="34"/>
        <v>0.58032845600065597</v>
      </c>
      <c r="AL88" s="35" t="str">
        <f t="shared" si="26"/>
        <v>IoU 75</v>
      </c>
      <c r="AM88" s="35" t="str">
        <f t="shared" si="35"/>
        <v>IoU 50</v>
      </c>
    </row>
    <row r="89" spans="1:39" x14ac:dyDescent="0.2">
      <c r="A89" s="11">
        <v>2.570501567872302E-2</v>
      </c>
      <c r="C89" s="11">
        <v>0.29660915283008427</v>
      </c>
      <c r="E89" s="11" t="str">
        <f t="shared" si="24"/>
        <v>IoU 25</v>
      </c>
      <c r="G89" s="35" t="str">
        <f t="shared" si="37"/>
        <v>IoU 50</v>
      </c>
      <c r="I89" s="11">
        <v>0.18967415980602317</v>
      </c>
      <c r="J89" s="11">
        <v>0.42174634157123359</v>
      </c>
      <c r="K89" s="11">
        <v>0.3253547424420305</v>
      </c>
      <c r="M89" s="11">
        <f t="shared" si="27"/>
        <v>0.30571025068862839</v>
      </c>
      <c r="N89" s="35" t="str">
        <f t="shared" si="36"/>
        <v>IoU 50</v>
      </c>
      <c r="O89" s="35" t="str">
        <f t="shared" si="28"/>
        <v>IoU 50</v>
      </c>
      <c r="Q89" s="11">
        <v>0.45618126893015498</v>
      </c>
      <c r="R89" s="11">
        <v>8.2544340795707022E-2</v>
      </c>
      <c r="S89" s="11">
        <v>0.5399951333404438</v>
      </c>
      <c r="U89" s="11">
        <f t="shared" si="29"/>
        <v>0.26936280486293102</v>
      </c>
      <c r="V89" s="35" t="str">
        <f t="shared" si="25"/>
        <v>IoU 50</v>
      </c>
      <c r="W89" s="35" t="str">
        <f t="shared" si="30"/>
        <v>IoU 75</v>
      </c>
      <c r="Y89" s="11">
        <v>9.9010401910389761E-2</v>
      </c>
      <c r="Z89" s="11">
        <v>0.47427688208994534</v>
      </c>
      <c r="AA89" s="11">
        <v>0.29266078549410773</v>
      </c>
      <c r="AC89" s="11">
        <f t="shared" si="31"/>
        <v>0.28664364200016756</v>
      </c>
      <c r="AD89" s="35" t="str">
        <f t="shared" si="32"/>
        <v>IoU 50</v>
      </c>
      <c r="AE89" s="35" t="str">
        <f t="shared" si="33"/>
        <v>IoU 50</v>
      </c>
      <c r="AG89" s="11">
        <v>0</v>
      </c>
      <c r="AH89" s="11">
        <v>6.1199999999999997E-2</v>
      </c>
      <c r="AI89" s="11">
        <v>0.2844358883697361</v>
      </c>
      <c r="AK89" s="11">
        <f t="shared" si="34"/>
        <v>3.0599999999999999E-2</v>
      </c>
      <c r="AL89" s="35" t="str">
        <f t="shared" si="26"/>
        <v>IoU 25</v>
      </c>
      <c r="AM89" s="35" t="str">
        <f t="shared" si="35"/>
        <v>IoU 50</v>
      </c>
    </row>
    <row r="90" spans="1:39" x14ac:dyDescent="0.2">
      <c r="A90" s="11">
        <v>0.35505968079017647</v>
      </c>
      <c r="C90" s="11">
        <v>2.4814381633154567E-2</v>
      </c>
      <c r="E90" s="11" t="str">
        <f t="shared" si="24"/>
        <v>IoU 50</v>
      </c>
      <c r="G90" s="35" t="str">
        <f t="shared" si="37"/>
        <v>IoU 25</v>
      </c>
      <c r="I90" s="11">
        <v>0.21779771919985044</v>
      </c>
      <c r="J90" s="11">
        <v>0.23809677419354838</v>
      </c>
      <c r="K90" s="11">
        <v>0.44787711546501024</v>
      </c>
      <c r="M90" s="11">
        <f t="shared" si="27"/>
        <v>0.22794724669669941</v>
      </c>
      <c r="N90" s="35" t="str">
        <f t="shared" si="36"/>
        <v>IoU 25</v>
      </c>
      <c r="O90" s="35" t="str">
        <f t="shared" si="28"/>
        <v>IoU 50</v>
      </c>
      <c r="Q90" s="11">
        <v>0.11852553418437166</v>
      </c>
      <c r="R90" s="11">
        <v>0.15</v>
      </c>
      <c r="S90" s="11">
        <v>0.19854665785496889</v>
      </c>
      <c r="U90" s="11">
        <f t="shared" si="29"/>
        <v>0.13426276709218582</v>
      </c>
      <c r="V90" s="35" t="str">
        <f t="shared" si="25"/>
        <v>IoU 25</v>
      </c>
      <c r="W90" s="35" t="str">
        <f t="shared" si="30"/>
        <v>IoU 25</v>
      </c>
      <c r="Y90" s="11">
        <v>0.1038142570581719</v>
      </c>
      <c r="Z90" s="11">
        <v>0.44320501330340289</v>
      </c>
      <c r="AA90" s="11">
        <v>0.59919342790121499</v>
      </c>
      <c r="AC90" s="11">
        <f t="shared" si="31"/>
        <v>0.27350963518078741</v>
      </c>
      <c r="AD90" s="35" t="str">
        <f t="shared" si="32"/>
        <v>IoU 50</v>
      </c>
      <c r="AE90" s="35" t="str">
        <f t="shared" si="33"/>
        <v>IoU 75</v>
      </c>
      <c r="AG90" s="11">
        <v>0</v>
      </c>
      <c r="AH90" s="11">
        <v>0.490014605474831</v>
      </c>
      <c r="AI90" s="11">
        <v>0.41699481507927555</v>
      </c>
      <c r="AK90" s="11">
        <f t="shared" si="34"/>
        <v>0.2450073027374155</v>
      </c>
      <c r="AL90" s="35" t="str">
        <f t="shared" si="26"/>
        <v>IoU 25</v>
      </c>
      <c r="AM90" s="35" t="str">
        <f t="shared" si="35"/>
        <v>IoU 50</v>
      </c>
    </row>
    <row r="91" spans="1:39" x14ac:dyDescent="0.2">
      <c r="A91" s="11">
        <v>0.54217522571697185</v>
      </c>
      <c r="C91" s="11">
        <v>0.36752107282340601</v>
      </c>
      <c r="E91" s="11" t="str">
        <f t="shared" si="24"/>
        <v>IoU 75</v>
      </c>
      <c r="G91" s="35" t="str">
        <f t="shared" si="37"/>
        <v>IoU 50</v>
      </c>
      <c r="I91" s="11">
        <v>1.365656037637219E-2</v>
      </c>
      <c r="J91" s="11">
        <v>0.83310506546160012</v>
      </c>
      <c r="K91" s="11">
        <v>0.2196726239667092</v>
      </c>
      <c r="M91" s="11">
        <f t="shared" si="27"/>
        <v>0.42338081291898616</v>
      </c>
      <c r="N91" s="35" t="str">
        <f t="shared" si="36"/>
        <v>IoU 50</v>
      </c>
      <c r="O91" s="35" t="str">
        <f t="shared" si="28"/>
        <v>IoU 25</v>
      </c>
      <c r="Q91" s="11">
        <v>0.20400868718017887</v>
      </c>
      <c r="R91" s="11">
        <v>0.41910451739182608</v>
      </c>
      <c r="S91" s="11">
        <v>0.3954259276754854</v>
      </c>
      <c r="U91" s="11">
        <f t="shared" si="29"/>
        <v>0.31155660228600246</v>
      </c>
      <c r="V91" s="35" t="str">
        <f t="shared" si="25"/>
        <v>IoU 50</v>
      </c>
      <c r="W91" s="35" t="str">
        <f t="shared" si="30"/>
        <v>IoU 50</v>
      </c>
      <c r="Y91" s="11">
        <v>0.29005441562198186</v>
      </c>
      <c r="Z91" s="11">
        <v>0.11031718100844594</v>
      </c>
      <c r="AA91" s="11">
        <v>0.3280453966744169</v>
      </c>
      <c r="AC91" s="11">
        <f t="shared" si="31"/>
        <v>0.20018579831521391</v>
      </c>
      <c r="AD91" s="35" t="str">
        <f t="shared" si="32"/>
        <v>IoU 25</v>
      </c>
      <c r="AE91" s="35" t="str">
        <f t="shared" si="33"/>
        <v>IoU 50</v>
      </c>
      <c r="AG91" s="11">
        <v>0.20690756158757337</v>
      </c>
      <c r="AH91" s="11">
        <v>0.17514177693761815</v>
      </c>
      <c r="AI91" s="11">
        <v>0.23529588224355935</v>
      </c>
      <c r="AK91" s="11">
        <f t="shared" si="34"/>
        <v>0.19102466926259576</v>
      </c>
      <c r="AL91" s="35" t="str">
        <f t="shared" si="26"/>
        <v>IoU 25</v>
      </c>
      <c r="AM91" s="35" t="str">
        <f t="shared" si="35"/>
        <v>IoU 25</v>
      </c>
    </row>
    <row r="92" spans="1:39" x14ac:dyDescent="0.2">
      <c r="A92" s="11">
        <v>0.58728023591267275</v>
      </c>
      <c r="C92" s="11">
        <v>1.8538283062645013E-2</v>
      </c>
      <c r="E92" s="11" t="str">
        <f t="shared" si="24"/>
        <v>IoU 75</v>
      </c>
      <c r="G92" s="35" t="str">
        <f t="shared" si="37"/>
        <v>IoU 25</v>
      </c>
      <c r="J92" s="11">
        <v>0.45542962769258533</v>
      </c>
      <c r="K92" s="11">
        <v>0.13828722131492838</v>
      </c>
      <c r="M92" s="11">
        <v>0.45542962769258533</v>
      </c>
      <c r="N92" s="35" t="str">
        <f t="shared" si="36"/>
        <v>IoU 50</v>
      </c>
      <c r="O92" s="35" t="str">
        <f t="shared" si="28"/>
        <v>IoU 25</v>
      </c>
      <c r="Q92" s="11">
        <v>0.19264234754127593</v>
      </c>
      <c r="R92" s="11">
        <v>0.392870078294703</v>
      </c>
      <c r="S92" s="11">
        <v>0.34387086457481897</v>
      </c>
      <c r="U92" s="11">
        <f t="shared" si="29"/>
        <v>0.29275621291798948</v>
      </c>
      <c r="V92" s="35" t="str">
        <f t="shared" si="25"/>
        <v>IoU 50</v>
      </c>
      <c r="W92" s="35" t="str">
        <f t="shared" si="30"/>
        <v>IoU 50</v>
      </c>
      <c r="Y92" s="11">
        <v>3.7782399214642777E-2</v>
      </c>
      <c r="Z92" s="11">
        <v>0.72229272651678422</v>
      </c>
      <c r="AA92" s="11">
        <v>0.42580336754179826</v>
      </c>
      <c r="AC92" s="11">
        <f t="shared" si="31"/>
        <v>0.3800375628657135</v>
      </c>
      <c r="AD92" s="35" t="str">
        <f t="shared" si="32"/>
        <v>IoU 50</v>
      </c>
      <c r="AE92" s="35" t="str">
        <f t="shared" si="33"/>
        <v>IoU 50</v>
      </c>
      <c r="AG92" s="11">
        <v>3.4589755328348341E-2</v>
      </c>
      <c r="AH92" s="11">
        <v>0.21985944465805335</v>
      </c>
      <c r="AI92" s="11">
        <v>0.33918159809090176</v>
      </c>
      <c r="AK92" s="11">
        <f t="shared" si="34"/>
        <v>0.12722459999320085</v>
      </c>
      <c r="AL92" s="35" t="str">
        <f t="shared" si="26"/>
        <v>IoU 25</v>
      </c>
      <c r="AM92" s="35" t="str">
        <f t="shared" si="35"/>
        <v>IoU 50</v>
      </c>
    </row>
    <row r="93" spans="1:39" x14ac:dyDescent="0.2">
      <c r="A93" s="11">
        <v>0.31952732475004753</v>
      </c>
      <c r="C93" s="11">
        <v>0.29281701734689169</v>
      </c>
      <c r="E93" s="11" t="str">
        <f t="shared" si="24"/>
        <v>IoU 50</v>
      </c>
      <c r="G93" s="35" t="str">
        <f t="shared" si="37"/>
        <v>IoU 50</v>
      </c>
      <c r="J93" s="11">
        <v>0.22295184490306441</v>
      </c>
      <c r="K93" s="11">
        <v>0.31580311554627666</v>
      </c>
      <c r="M93" s="11">
        <v>0.22295184490306441</v>
      </c>
      <c r="N93" s="35" t="str">
        <f t="shared" si="36"/>
        <v>IoU 25</v>
      </c>
      <c r="O93" s="35" t="str">
        <f t="shared" si="28"/>
        <v>IoU 50</v>
      </c>
      <c r="Q93" s="11">
        <v>0</v>
      </c>
      <c r="R93" s="11">
        <v>0.20542391064215065</v>
      </c>
      <c r="S93" s="11">
        <v>0.4277002692238101</v>
      </c>
      <c r="U93" s="11">
        <f t="shared" si="29"/>
        <v>0.10271195532107533</v>
      </c>
      <c r="V93" s="35" t="str">
        <f t="shared" si="25"/>
        <v>IoU 25</v>
      </c>
      <c r="W93" s="35" t="str">
        <f t="shared" si="30"/>
        <v>IoU 50</v>
      </c>
      <c r="Y93" s="11">
        <v>0</v>
      </c>
      <c r="AA93" s="11">
        <v>0.43930257768360542</v>
      </c>
      <c r="AC93" s="11">
        <v>0</v>
      </c>
      <c r="AD93" s="35" t="str">
        <f t="shared" si="32"/>
        <v>IoU 25</v>
      </c>
      <c r="AE93" s="35" t="str">
        <f t="shared" si="33"/>
        <v>IoU 50</v>
      </c>
      <c r="AG93" s="11">
        <v>0.81481512269084122</v>
      </c>
      <c r="AH93" s="11">
        <v>0.65125422061084348</v>
      </c>
      <c r="AI93" s="11">
        <v>0.36647867849723403</v>
      </c>
      <c r="AK93" s="11">
        <f t="shared" si="34"/>
        <v>0.73303467165084235</v>
      </c>
      <c r="AL93" s="35" t="str">
        <f t="shared" si="26"/>
        <v>IoU 75</v>
      </c>
      <c r="AM93" s="35" t="str">
        <f t="shared" si="35"/>
        <v>IoU 50</v>
      </c>
    </row>
    <row r="94" spans="1:39" x14ac:dyDescent="0.2">
      <c r="C94" s="11">
        <v>0.55447202675636797</v>
      </c>
      <c r="E94" s="11" t="str">
        <f t="shared" si="24"/>
        <v>IoU 25</v>
      </c>
      <c r="G94" s="35" t="str">
        <f t="shared" si="37"/>
        <v>IoU 75</v>
      </c>
      <c r="I94" s="11">
        <v>0.34774851307883564</v>
      </c>
      <c r="J94" s="11">
        <v>0.38611046025989193</v>
      </c>
      <c r="K94" s="11">
        <v>0.52778476119906359</v>
      </c>
      <c r="M94" s="11">
        <f t="shared" si="27"/>
        <v>0.36692948666936376</v>
      </c>
      <c r="N94" s="35" t="str">
        <f t="shared" si="36"/>
        <v>IoU 50</v>
      </c>
      <c r="O94" s="35" t="str">
        <f t="shared" si="28"/>
        <v>IoU 75</v>
      </c>
      <c r="Q94" s="11">
        <v>0.40711574757314867</v>
      </c>
      <c r="R94" s="11">
        <v>0.40324501139148738</v>
      </c>
      <c r="S94" s="11">
        <v>0.32384319939245232</v>
      </c>
      <c r="U94" s="11">
        <f t="shared" si="29"/>
        <v>0.405180379482318</v>
      </c>
      <c r="V94" s="35" t="str">
        <f t="shared" si="25"/>
        <v>IoU 50</v>
      </c>
      <c r="W94" s="35" t="str">
        <f t="shared" si="30"/>
        <v>IoU 50</v>
      </c>
      <c r="Y94" s="11">
        <v>0.74426445224928273</v>
      </c>
      <c r="Z94" s="11">
        <v>0.2817047334360413</v>
      </c>
      <c r="AA94" s="11">
        <v>0.22444675066998582</v>
      </c>
      <c r="AC94" s="11">
        <f t="shared" si="31"/>
        <v>0.51298459284266196</v>
      </c>
      <c r="AD94" s="35" t="str">
        <f t="shared" si="32"/>
        <v>IoU 75</v>
      </c>
      <c r="AE94" s="35" t="str">
        <f t="shared" si="33"/>
        <v>IoU 25</v>
      </c>
      <c r="AG94" s="11">
        <v>0.17406151272997583</v>
      </c>
      <c r="AH94" s="11">
        <v>0.35893855400266234</v>
      </c>
      <c r="AI94" s="11">
        <v>0.38792624638282258</v>
      </c>
      <c r="AK94" s="11">
        <f t="shared" si="34"/>
        <v>0.26650003336631911</v>
      </c>
      <c r="AL94" s="35" t="str">
        <f t="shared" si="26"/>
        <v>IoU 50</v>
      </c>
      <c r="AM94" s="35" t="str">
        <f t="shared" si="35"/>
        <v>IoU 50</v>
      </c>
    </row>
    <row r="95" spans="1:39" x14ac:dyDescent="0.2">
      <c r="A95" s="11">
        <v>0.30678618624350151</v>
      </c>
      <c r="C95" s="11">
        <v>0.33097251832627028</v>
      </c>
      <c r="E95" s="11" t="str">
        <f t="shared" si="24"/>
        <v>IoU 50</v>
      </c>
      <c r="G95" s="35" t="str">
        <f t="shared" si="37"/>
        <v>IoU 50</v>
      </c>
      <c r="I95" s="11">
        <v>0.56009166153514256</v>
      </c>
      <c r="J95" s="11">
        <v>0.19127063724733837</v>
      </c>
      <c r="K95" s="11">
        <v>0.43808565788183768</v>
      </c>
      <c r="M95" s="11">
        <f t="shared" si="27"/>
        <v>0.37568114939124048</v>
      </c>
      <c r="N95" s="35" t="str">
        <f t="shared" si="36"/>
        <v>IoU 50</v>
      </c>
      <c r="O95" s="35" t="str">
        <f t="shared" si="28"/>
        <v>IoU 50</v>
      </c>
      <c r="Q95" s="11">
        <v>0.18463895037372086</v>
      </c>
      <c r="R95" s="11">
        <v>0.41189191797520042</v>
      </c>
      <c r="S95" s="11">
        <v>0.43443914246526483</v>
      </c>
      <c r="U95" s="11">
        <f t="shared" si="29"/>
        <v>0.29826543417446061</v>
      </c>
      <c r="V95" s="35" t="str">
        <f t="shared" si="25"/>
        <v>IoU 50</v>
      </c>
      <c r="W95" s="35" t="str">
        <f t="shared" si="30"/>
        <v>IoU 50</v>
      </c>
      <c r="Y95" s="11">
        <v>0.45126500446087325</v>
      </c>
      <c r="Z95" s="11">
        <v>0.5516629271849004</v>
      </c>
      <c r="AA95" s="11">
        <v>0.26914626128146779</v>
      </c>
      <c r="AC95" s="11">
        <f t="shared" si="31"/>
        <v>0.50146396582288677</v>
      </c>
      <c r="AD95" s="35" t="str">
        <f t="shared" si="32"/>
        <v>IoU 75</v>
      </c>
      <c r="AE95" s="35" t="str">
        <f t="shared" si="33"/>
        <v>IoU 50</v>
      </c>
      <c r="AG95" s="11">
        <v>1.5162714218042966E-3</v>
      </c>
      <c r="AH95" s="11">
        <v>0.41079720013401333</v>
      </c>
      <c r="AI95" s="11">
        <v>0.33726819267438785</v>
      </c>
      <c r="AK95" s="11">
        <f t="shared" si="34"/>
        <v>0.2061567357779088</v>
      </c>
      <c r="AL95" s="35" t="str">
        <f t="shared" si="26"/>
        <v>IoU 25</v>
      </c>
      <c r="AM95" s="35" t="str">
        <f t="shared" si="35"/>
        <v>IoU 50</v>
      </c>
    </row>
    <row r="96" spans="1:39" x14ac:dyDescent="0.2">
      <c r="A96" s="11">
        <v>0.28965905954083515</v>
      </c>
      <c r="C96" s="11">
        <v>0.14696161154675311</v>
      </c>
      <c r="E96" s="11" t="str">
        <f t="shared" si="24"/>
        <v>IoU 50</v>
      </c>
      <c r="G96" s="35" t="str">
        <f t="shared" si="37"/>
        <v>IoU 25</v>
      </c>
      <c r="I96" s="11">
        <v>0.27569706705309704</v>
      </c>
      <c r="J96" s="11">
        <v>0.45032478032216067</v>
      </c>
      <c r="K96" s="11">
        <v>0.4374551065549333</v>
      </c>
      <c r="M96" s="11">
        <f t="shared" si="27"/>
        <v>0.36301092368762888</v>
      </c>
      <c r="N96" s="35" t="str">
        <f t="shared" si="36"/>
        <v>IoU 50</v>
      </c>
      <c r="O96" s="35" t="str">
        <f t="shared" si="28"/>
        <v>IoU 50</v>
      </c>
      <c r="Q96" s="11">
        <v>0.5627668349217223</v>
      </c>
      <c r="R96" s="11">
        <v>0.33090858116490196</v>
      </c>
      <c r="S96" s="11">
        <v>0.46960047069371214</v>
      </c>
      <c r="U96" s="11">
        <f t="shared" si="29"/>
        <v>0.44683770804331213</v>
      </c>
      <c r="V96" s="35" t="str">
        <f t="shared" si="25"/>
        <v>IoU 50</v>
      </c>
      <c r="W96" s="35" t="str">
        <f t="shared" si="30"/>
        <v>IoU 50</v>
      </c>
      <c r="Y96" s="11">
        <v>0.31483325030093973</v>
      </c>
      <c r="Z96" s="11">
        <v>0.37373591627471092</v>
      </c>
      <c r="AA96" s="11">
        <v>0.27775542987088842</v>
      </c>
      <c r="AC96" s="11">
        <f t="shared" si="31"/>
        <v>0.3442845832878253</v>
      </c>
      <c r="AD96" s="35" t="str">
        <f t="shared" si="32"/>
        <v>IoU 50</v>
      </c>
      <c r="AE96" s="35" t="str">
        <f t="shared" si="33"/>
        <v>IoU 50</v>
      </c>
      <c r="AG96" s="11">
        <v>0.35880155633783573</v>
      </c>
      <c r="AH96" s="11">
        <v>0.7613095559847447</v>
      </c>
      <c r="AI96" s="11">
        <v>0.22376279129982635</v>
      </c>
      <c r="AK96" s="11">
        <f t="shared" si="34"/>
        <v>0.56005555616129021</v>
      </c>
      <c r="AL96" s="35" t="str">
        <f t="shared" si="26"/>
        <v>IoU 75</v>
      </c>
      <c r="AM96" s="35" t="str">
        <f t="shared" si="35"/>
        <v>IoU 25</v>
      </c>
    </row>
    <row r="97" spans="1:39" x14ac:dyDescent="0.2">
      <c r="C97" s="11">
        <v>0.37119017316045394</v>
      </c>
      <c r="E97" s="11" t="str">
        <f t="shared" si="24"/>
        <v>IoU 25</v>
      </c>
      <c r="G97" s="35" t="str">
        <f t="shared" si="37"/>
        <v>IoU 50</v>
      </c>
      <c r="I97" s="11">
        <v>0.18157788886973511</v>
      </c>
      <c r="J97" s="11">
        <v>0.37202106804417556</v>
      </c>
      <c r="K97" s="11">
        <v>0.30997046377756382</v>
      </c>
      <c r="M97" s="11">
        <f t="shared" si="27"/>
        <v>0.27679947845695535</v>
      </c>
      <c r="N97" s="35" t="str">
        <f t="shared" si="36"/>
        <v>IoU 50</v>
      </c>
      <c r="O97" s="35" t="str">
        <f t="shared" si="28"/>
        <v>IoU 50</v>
      </c>
      <c r="Q97" s="11">
        <v>0.54071684704709222</v>
      </c>
      <c r="R97" s="11">
        <v>0.40700623649417178</v>
      </c>
      <c r="S97" s="11">
        <v>0.54667614821375954</v>
      </c>
      <c r="U97" s="11">
        <f t="shared" si="29"/>
        <v>0.473861541770632</v>
      </c>
      <c r="V97" s="35" t="str">
        <f t="shared" si="25"/>
        <v>IoU 50</v>
      </c>
      <c r="W97" s="35" t="str">
        <f t="shared" si="30"/>
        <v>IoU 75</v>
      </c>
      <c r="Y97" s="11">
        <v>6.7230028237893702E-2</v>
      </c>
      <c r="AA97" s="11">
        <v>0.34256822683591959</v>
      </c>
      <c r="AC97" s="11">
        <v>6.7230028237893702E-2</v>
      </c>
      <c r="AD97" s="35" t="str">
        <f t="shared" si="32"/>
        <v>IoU 25</v>
      </c>
      <c r="AE97" s="35" t="str">
        <f t="shared" si="33"/>
        <v>IoU 50</v>
      </c>
      <c r="AG97" s="11">
        <v>0.34894874822613636</v>
      </c>
      <c r="AH97" s="11">
        <v>0.37224591912749672</v>
      </c>
      <c r="AI97" s="11">
        <v>0.34703217341220244</v>
      </c>
      <c r="AK97" s="11">
        <f t="shared" si="34"/>
        <v>0.36059733367681657</v>
      </c>
      <c r="AL97" s="35" t="str">
        <f t="shared" si="26"/>
        <v>IoU 50</v>
      </c>
      <c r="AM97" s="35" t="str">
        <f t="shared" si="35"/>
        <v>IoU 50</v>
      </c>
    </row>
    <row r="98" spans="1:39" x14ac:dyDescent="0.2">
      <c r="A98" s="11">
        <v>0.45838925704299827</v>
      </c>
      <c r="C98" s="11">
        <v>0.33935593769819539</v>
      </c>
      <c r="E98" s="11" t="str">
        <f t="shared" si="24"/>
        <v>IoU 50</v>
      </c>
      <c r="G98" s="35" t="str">
        <f t="shared" si="37"/>
        <v>IoU 50</v>
      </c>
      <c r="I98" s="11">
        <v>0.32579541243233934</v>
      </c>
      <c r="J98" s="11">
        <v>0.42825627773460961</v>
      </c>
      <c r="K98" s="11">
        <v>0.32743919653066828</v>
      </c>
      <c r="M98" s="11">
        <f t="shared" si="27"/>
        <v>0.37702584508347448</v>
      </c>
      <c r="N98" s="35" t="str">
        <f t="shared" si="36"/>
        <v>IoU 50</v>
      </c>
      <c r="O98" s="35" t="str">
        <f t="shared" si="28"/>
        <v>IoU 50</v>
      </c>
      <c r="Q98" s="11">
        <v>0.407751064443238</v>
      </c>
      <c r="R98" s="11">
        <v>0.43374664938611196</v>
      </c>
      <c r="S98" s="11">
        <v>0.46010983920910692</v>
      </c>
      <c r="U98" s="11">
        <f t="shared" si="29"/>
        <v>0.42074885691467501</v>
      </c>
      <c r="V98" s="35" t="str">
        <f t="shared" si="25"/>
        <v>IoU 50</v>
      </c>
      <c r="W98" s="35" t="str">
        <f t="shared" si="30"/>
        <v>IoU 50</v>
      </c>
      <c r="Y98" s="11">
        <v>0.44869689864497797</v>
      </c>
      <c r="AA98" s="11">
        <v>0.18089543412026496</v>
      </c>
      <c r="AC98" s="11">
        <v>0.44869689864497797</v>
      </c>
      <c r="AD98" s="35" t="str">
        <f t="shared" si="32"/>
        <v>IoU 50</v>
      </c>
      <c r="AE98" s="35" t="str">
        <f t="shared" si="33"/>
        <v>IoU 25</v>
      </c>
      <c r="AG98" s="11">
        <v>8.8973439672203114E-2</v>
      </c>
      <c r="AH98" s="11">
        <v>0.43178339034264229</v>
      </c>
      <c r="AI98" s="11">
        <v>0.45961028236806883</v>
      </c>
      <c r="AK98" s="11">
        <f t="shared" si="34"/>
        <v>0.2603784150074227</v>
      </c>
      <c r="AL98" s="35" t="str">
        <f t="shared" si="26"/>
        <v>IoU 50</v>
      </c>
      <c r="AM98" s="35" t="str">
        <f t="shared" si="35"/>
        <v>IoU 50</v>
      </c>
    </row>
    <row r="99" spans="1:39" x14ac:dyDescent="0.2">
      <c r="A99" s="11">
        <v>0.41126120223161067</v>
      </c>
      <c r="C99" s="11">
        <v>0.51600136858709988</v>
      </c>
      <c r="E99" s="11" t="str">
        <f t="shared" si="24"/>
        <v>IoU 50</v>
      </c>
      <c r="G99" s="35" t="str">
        <f t="shared" si="37"/>
        <v>IoU 75</v>
      </c>
      <c r="I99" s="11">
        <v>0.41087840821616828</v>
      </c>
      <c r="J99" s="11">
        <v>0.59701627269785229</v>
      </c>
      <c r="K99" s="11">
        <v>0.24508331231537095</v>
      </c>
      <c r="M99" s="11">
        <f t="shared" si="27"/>
        <v>0.50394734045701028</v>
      </c>
      <c r="N99" s="35" t="str">
        <f t="shared" si="36"/>
        <v>IoU 75</v>
      </c>
      <c r="O99" s="35" t="str">
        <f t="shared" si="28"/>
        <v>IoU 25</v>
      </c>
      <c r="Q99" s="11">
        <v>0.55760621849907843</v>
      </c>
      <c r="R99" s="11">
        <v>0.44010511706004907</v>
      </c>
      <c r="S99" s="11">
        <v>0.52860957873812631</v>
      </c>
      <c r="U99" s="11">
        <f t="shared" si="29"/>
        <v>0.49885566777956375</v>
      </c>
      <c r="V99" s="35" t="str">
        <f t="shared" si="25"/>
        <v>IoU 50</v>
      </c>
      <c r="W99" s="35" t="str">
        <f t="shared" si="30"/>
        <v>IoU 75</v>
      </c>
      <c r="Y99" s="11">
        <v>0.27049569921141614</v>
      </c>
      <c r="Z99" s="11">
        <v>0.21536533176697645</v>
      </c>
      <c r="AA99" s="11">
        <v>0.45561913147319055</v>
      </c>
      <c r="AC99" s="11">
        <f t="shared" si="31"/>
        <v>0.24293051548919631</v>
      </c>
      <c r="AD99" s="35" t="str">
        <f t="shared" si="32"/>
        <v>IoU 25</v>
      </c>
      <c r="AE99" s="35" t="str">
        <f t="shared" si="33"/>
        <v>IoU 50</v>
      </c>
      <c r="AG99" s="11">
        <v>0.55097580667559953</v>
      </c>
      <c r="AH99" s="11">
        <v>0.65296858160657911</v>
      </c>
      <c r="AI99" s="11">
        <v>0.36388883826339796</v>
      </c>
      <c r="AK99" s="11">
        <f t="shared" si="34"/>
        <v>0.60197219414108938</v>
      </c>
      <c r="AL99" s="35" t="str">
        <f t="shared" si="26"/>
        <v>IoU 75</v>
      </c>
      <c r="AM99" s="35" t="str">
        <f t="shared" si="35"/>
        <v>IoU 50</v>
      </c>
    </row>
    <row r="100" spans="1:39" x14ac:dyDescent="0.2">
      <c r="A100" s="11">
        <v>0.58661291866199372</v>
      </c>
      <c r="C100" s="11">
        <v>0.32656751506297843</v>
      </c>
      <c r="E100" s="11" t="str">
        <f t="shared" si="24"/>
        <v>IoU 75</v>
      </c>
      <c r="G100" s="35" t="str">
        <f t="shared" si="37"/>
        <v>IoU 50</v>
      </c>
      <c r="I100" s="11">
        <v>0.10091643586603768</v>
      </c>
      <c r="J100" s="11">
        <v>0.46261207330405774</v>
      </c>
      <c r="K100" s="11">
        <v>0.27527989325472807</v>
      </c>
      <c r="M100" s="11">
        <f t="shared" si="27"/>
        <v>0.28176425458504772</v>
      </c>
      <c r="N100" s="35" t="str">
        <f t="shared" si="36"/>
        <v>IoU 50</v>
      </c>
      <c r="O100" s="35" t="str">
        <f t="shared" si="28"/>
        <v>IoU 50</v>
      </c>
      <c r="Q100" s="11">
        <v>5.1492169227185171E-2</v>
      </c>
      <c r="R100" s="11">
        <v>0.23502980553716049</v>
      </c>
      <c r="S100" s="11">
        <v>0.30799135651400983</v>
      </c>
      <c r="U100" s="11">
        <f t="shared" si="29"/>
        <v>0.14326098738217283</v>
      </c>
      <c r="V100" s="35" t="str">
        <f t="shared" si="25"/>
        <v>IoU 25</v>
      </c>
      <c r="W100" s="35" t="str">
        <f t="shared" si="30"/>
        <v>IoU 50</v>
      </c>
      <c r="Y100" s="11">
        <v>0.14542610099922618</v>
      </c>
      <c r="Z100" s="11">
        <v>0.22091373439273554</v>
      </c>
      <c r="AA100" s="11">
        <v>0.56403024701418625</v>
      </c>
      <c r="AC100" s="11">
        <f t="shared" si="31"/>
        <v>0.18316991769598084</v>
      </c>
      <c r="AD100" s="35" t="str">
        <f t="shared" si="32"/>
        <v>IoU 25</v>
      </c>
      <c r="AE100" s="35" t="str">
        <f t="shared" si="33"/>
        <v>IoU 75</v>
      </c>
      <c r="AG100" s="11">
        <v>0.31216686002980265</v>
      </c>
      <c r="AH100" s="11">
        <v>0.59712822507535768</v>
      </c>
      <c r="AI100" s="11">
        <v>0.34363072487364338</v>
      </c>
      <c r="AK100" s="11">
        <f t="shared" si="34"/>
        <v>0.45464754255258016</v>
      </c>
      <c r="AL100" s="35" t="str">
        <f t="shared" si="26"/>
        <v>IoU 50</v>
      </c>
      <c r="AM100" s="35" t="str">
        <f t="shared" si="35"/>
        <v>IoU 50</v>
      </c>
    </row>
    <row r="101" spans="1:39" x14ac:dyDescent="0.2">
      <c r="C101" s="11">
        <v>0.39895186977586766</v>
      </c>
      <c r="E101" s="11" t="str">
        <f t="shared" si="24"/>
        <v>IoU 25</v>
      </c>
      <c r="G101" s="35" t="str">
        <f t="shared" si="37"/>
        <v>IoU 50</v>
      </c>
      <c r="I101" s="11">
        <v>0</v>
      </c>
      <c r="J101" s="11">
        <v>0.20679444209430217</v>
      </c>
      <c r="K101" s="11">
        <v>0.4459446752496824</v>
      </c>
      <c r="M101" s="11">
        <f t="shared" si="27"/>
        <v>0.10339722104715109</v>
      </c>
      <c r="N101" s="35" t="str">
        <f t="shared" si="36"/>
        <v>IoU 25</v>
      </c>
      <c r="O101" s="35" t="str">
        <f t="shared" si="28"/>
        <v>IoU 50</v>
      </c>
      <c r="Q101" s="11">
        <v>0.44522558107301263</v>
      </c>
      <c r="R101" s="11">
        <v>0.41246491401612329</v>
      </c>
      <c r="S101" s="11">
        <v>0.28000879405425111</v>
      </c>
      <c r="U101" s="11">
        <f t="shared" si="29"/>
        <v>0.42884524754456799</v>
      </c>
      <c r="V101" s="35" t="str">
        <f t="shared" si="25"/>
        <v>IoU 50</v>
      </c>
      <c r="W101" s="35" t="str">
        <f t="shared" si="30"/>
        <v>IoU 50</v>
      </c>
      <c r="Y101" s="11">
        <v>5.1761425816874249E-2</v>
      </c>
      <c r="Z101" s="11">
        <v>0.60752294094292369</v>
      </c>
      <c r="AA101" s="11">
        <v>0.43239824283315775</v>
      </c>
      <c r="AC101" s="11">
        <f t="shared" si="31"/>
        <v>0.32964218337989898</v>
      </c>
      <c r="AD101" s="35" t="str">
        <f t="shared" ref="AD101:AD132" si="38">VLOOKUP(AC101,IoU_Thresholds,2,TRUE)</f>
        <v>IoU 50</v>
      </c>
      <c r="AE101" s="35" t="str">
        <f t="shared" si="33"/>
        <v>IoU 50</v>
      </c>
      <c r="AG101" s="11">
        <v>8.0934828773132794E-2</v>
      </c>
      <c r="AH101" s="11">
        <v>0.16376356645761359</v>
      </c>
      <c r="AI101" s="11">
        <v>0.33485130874668856</v>
      </c>
      <c r="AK101" s="11">
        <f t="shared" si="34"/>
        <v>0.12234919761537319</v>
      </c>
      <c r="AL101" s="35" t="str">
        <f t="shared" si="26"/>
        <v>IoU 25</v>
      </c>
      <c r="AM101" s="35" t="str">
        <f t="shared" si="35"/>
        <v>IoU 50</v>
      </c>
    </row>
    <row r="102" spans="1:39" x14ac:dyDescent="0.2">
      <c r="A102" s="11">
        <v>0.6722733411647821</v>
      </c>
      <c r="C102" s="11">
        <v>0.28347536538055484</v>
      </c>
      <c r="E102" s="11" t="str">
        <f t="shared" si="24"/>
        <v>IoU 75</v>
      </c>
      <c r="G102" s="35" t="str">
        <f t="shared" si="37"/>
        <v>IoU 50</v>
      </c>
      <c r="J102" s="11">
        <v>0.60354669650383896</v>
      </c>
      <c r="K102" s="11">
        <v>0.448288173294767</v>
      </c>
      <c r="M102" s="11">
        <v>0.60354669650383896</v>
      </c>
      <c r="N102" s="35" t="str">
        <f t="shared" si="36"/>
        <v>IoU 75</v>
      </c>
      <c r="O102" s="35" t="str">
        <f t="shared" si="28"/>
        <v>IoU 50</v>
      </c>
      <c r="Q102" s="11">
        <v>0.48409107893140862</v>
      </c>
      <c r="R102" s="11">
        <v>0.77471132381969854</v>
      </c>
      <c r="S102" s="11">
        <v>0.70271931628962259</v>
      </c>
      <c r="U102" s="11">
        <f t="shared" si="29"/>
        <v>0.62940120137555355</v>
      </c>
      <c r="V102" s="35" t="str">
        <f t="shared" si="25"/>
        <v>IoU 75</v>
      </c>
      <c r="W102" s="35" t="str">
        <f t="shared" si="30"/>
        <v>IoU 75</v>
      </c>
      <c r="Y102" s="11">
        <v>0.18194578896418198</v>
      </c>
      <c r="Z102" s="11">
        <v>0.40492028099272875</v>
      </c>
      <c r="AA102" s="11">
        <v>0.31161669259734176</v>
      </c>
      <c r="AC102" s="11">
        <f t="shared" si="31"/>
        <v>0.29343303497845535</v>
      </c>
      <c r="AD102" s="35" t="str">
        <f t="shared" si="38"/>
        <v>IoU 50</v>
      </c>
      <c r="AE102" s="35" t="str">
        <f t="shared" si="33"/>
        <v>IoU 50</v>
      </c>
      <c r="AG102" s="11">
        <v>0.42193239192301035</v>
      </c>
      <c r="AH102" s="11">
        <v>0.41479151324169128</v>
      </c>
      <c r="AI102" s="11">
        <v>0.35521855360931393</v>
      </c>
      <c r="AK102" s="11">
        <f t="shared" si="34"/>
        <v>0.41836195258235082</v>
      </c>
      <c r="AL102" s="35" t="str">
        <f t="shared" si="26"/>
        <v>IoU 50</v>
      </c>
      <c r="AM102" s="35" t="str">
        <f t="shared" si="35"/>
        <v>IoU 50</v>
      </c>
    </row>
    <row r="103" spans="1:39" x14ac:dyDescent="0.2">
      <c r="C103" s="11">
        <v>0.61193359691299476</v>
      </c>
      <c r="E103" s="11" t="str">
        <f t="shared" si="24"/>
        <v>IoU 25</v>
      </c>
      <c r="G103" s="35" t="str">
        <f t="shared" si="37"/>
        <v>IoU 75</v>
      </c>
      <c r="J103" s="11">
        <v>0.70102862056973025</v>
      </c>
      <c r="K103" s="11">
        <v>0.18306806320932623</v>
      </c>
      <c r="M103" s="11">
        <v>0.70102862056973025</v>
      </c>
      <c r="N103" s="35" t="str">
        <f t="shared" si="36"/>
        <v>IoU 75</v>
      </c>
      <c r="O103" s="35" t="str">
        <f t="shared" si="28"/>
        <v>IoU 25</v>
      </c>
      <c r="Q103" s="11">
        <v>0.14138107121322521</v>
      </c>
      <c r="R103" s="11">
        <v>0.3937087676317238</v>
      </c>
      <c r="S103" s="11">
        <v>0.3684447267635792</v>
      </c>
      <c r="U103" s="11">
        <f t="shared" si="29"/>
        <v>0.26754491942247449</v>
      </c>
      <c r="V103" s="35" t="str">
        <f t="shared" si="25"/>
        <v>IoU 50</v>
      </c>
      <c r="W103" s="35" t="str">
        <f t="shared" si="30"/>
        <v>IoU 50</v>
      </c>
      <c r="Z103" s="11">
        <v>0.84437786401901171</v>
      </c>
      <c r="AA103" s="11">
        <v>0.60970082456787622</v>
      </c>
      <c r="AC103" s="11">
        <v>0.84437786401901171</v>
      </c>
      <c r="AD103" s="35" t="str">
        <f t="shared" si="38"/>
        <v>IoU 100</v>
      </c>
      <c r="AE103" s="35" t="str">
        <f t="shared" si="33"/>
        <v>IoU 75</v>
      </c>
      <c r="AG103" s="11">
        <v>0.36127235597870888</v>
      </c>
      <c r="AH103" s="11">
        <v>0.42961626452968693</v>
      </c>
      <c r="AI103" s="11">
        <v>0.39756818788382942</v>
      </c>
      <c r="AK103" s="11">
        <f t="shared" si="34"/>
        <v>0.39544431025419791</v>
      </c>
      <c r="AL103" s="35" t="str">
        <f t="shared" si="26"/>
        <v>IoU 50</v>
      </c>
      <c r="AM103" s="35" t="str">
        <f t="shared" si="35"/>
        <v>IoU 50</v>
      </c>
    </row>
    <row r="104" spans="1:39" x14ac:dyDescent="0.2">
      <c r="C104" s="11">
        <v>0.39314953428005761</v>
      </c>
      <c r="E104" s="11" t="str">
        <f t="shared" si="24"/>
        <v>IoU 25</v>
      </c>
      <c r="G104" s="35" t="str">
        <f t="shared" si="37"/>
        <v>IoU 50</v>
      </c>
      <c r="I104" s="11">
        <v>0</v>
      </c>
      <c r="J104" s="11">
        <v>0.43913628268340199</v>
      </c>
      <c r="K104" s="11">
        <v>0.19343601287604789</v>
      </c>
      <c r="M104" s="11">
        <f t="shared" si="27"/>
        <v>0.219568141341701</v>
      </c>
      <c r="N104" s="35" t="str">
        <f t="shared" si="36"/>
        <v>IoU 25</v>
      </c>
      <c r="O104" s="35" t="str">
        <f t="shared" si="28"/>
        <v>IoU 25</v>
      </c>
      <c r="Q104" s="11">
        <v>0.59775852895252746</v>
      </c>
      <c r="R104" s="11">
        <v>0.19803829266807765</v>
      </c>
      <c r="S104" s="11">
        <v>0.48610739169119332</v>
      </c>
      <c r="U104" s="11">
        <f t="shared" si="29"/>
        <v>0.39789841081030253</v>
      </c>
      <c r="V104" s="35" t="str">
        <f t="shared" si="25"/>
        <v>IoU 50</v>
      </c>
      <c r="W104" s="35" t="str">
        <f t="shared" si="30"/>
        <v>IoU 50</v>
      </c>
      <c r="Y104" s="11">
        <v>0.23668965642810519</v>
      </c>
      <c r="Z104" s="11">
        <v>0.39450563779491715</v>
      </c>
      <c r="AA104" s="11">
        <v>0.49528026670542902</v>
      </c>
      <c r="AC104" s="11">
        <f t="shared" si="31"/>
        <v>0.31559764711151117</v>
      </c>
      <c r="AD104" s="35" t="str">
        <f t="shared" si="38"/>
        <v>IoU 50</v>
      </c>
      <c r="AE104" s="35" t="str">
        <f t="shared" si="33"/>
        <v>IoU 50</v>
      </c>
      <c r="AG104" s="11">
        <v>0.55130262479161818</v>
      </c>
      <c r="AH104" s="11">
        <v>0.21832304321848237</v>
      </c>
      <c r="AI104" s="11">
        <v>0.28146553301723581</v>
      </c>
      <c r="AK104" s="11">
        <f t="shared" si="34"/>
        <v>0.38481283400505029</v>
      </c>
      <c r="AL104" s="35" t="str">
        <f t="shared" si="26"/>
        <v>IoU 50</v>
      </c>
      <c r="AM104" s="35" t="str">
        <f t="shared" si="35"/>
        <v>IoU 50</v>
      </c>
    </row>
    <row r="105" spans="1:39" x14ac:dyDescent="0.2">
      <c r="A105" s="11">
        <v>0.5883204372117784</v>
      </c>
      <c r="C105" s="11">
        <v>0.36466746739803096</v>
      </c>
      <c r="E105" s="11" t="str">
        <f t="shared" si="24"/>
        <v>IoU 75</v>
      </c>
      <c r="G105" s="35" t="str">
        <f t="shared" si="37"/>
        <v>IoU 50</v>
      </c>
      <c r="J105" s="11">
        <v>0.61262177648143812</v>
      </c>
      <c r="K105" s="11">
        <v>0.49891607783345299</v>
      </c>
      <c r="M105" s="11">
        <v>0.61262177648143812</v>
      </c>
      <c r="N105" s="35" t="str">
        <f t="shared" si="36"/>
        <v>IoU 75</v>
      </c>
      <c r="O105" s="35" t="str">
        <f t="shared" si="28"/>
        <v>IoU 50</v>
      </c>
      <c r="Q105" s="11">
        <v>0</v>
      </c>
      <c r="R105" s="11">
        <v>0.44203344429275981</v>
      </c>
      <c r="S105" s="11">
        <v>0.55541650144511778</v>
      </c>
      <c r="U105" s="11">
        <f t="shared" si="29"/>
        <v>0.22101672214637991</v>
      </c>
      <c r="V105" s="35" t="str">
        <f t="shared" si="25"/>
        <v>IoU 25</v>
      </c>
      <c r="W105" s="35" t="str">
        <f t="shared" si="30"/>
        <v>IoU 75</v>
      </c>
      <c r="Y105" s="11">
        <v>0.60215939553486297</v>
      </c>
      <c r="Z105" s="11">
        <v>0.43142044700234594</v>
      </c>
      <c r="AA105" s="11">
        <v>0.34642160017747242</v>
      </c>
      <c r="AC105" s="11">
        <f t="shared" si="31"/>
        <v>0.51678992126860446</v>
      </c>
      <c r="AD105" s="35" t="str">
        <f t="shared" si="38"/>
        <v>IoU 75</v>
      </c>
      <c r="AE105" s="35" t="str">
        <f t="shared" si="33"/>
        <v>IoU 50</v>
      </c>
      <c r="AG105" s="11">
        <v>0.15799771444402119</v>
      </c>
      <c r="AH105" s="11">
        <v>0.40243467543224931</v>
      </c>
      <c r="AI105" s="11">
        <v>0.31285431849431117</v>
      </c>
      <c r="AK105" s="11">
        <f t="shared" si="34"/>
        <v>0.28021619493813527</v>
      </c>
      <c r="AL105" s="35" t="str">
        <f t="shared" si="26"/>
        <v>IoU 50</v>
      </c>
      <c r="AM105" s="35" t="str">
        <f t="shared" si="35"/>
        <v>IoU 50</v>
      </c>
    </row>
    <row r="106" spans="1:39" x14ac:dyDescent="0.2">
      <c r="A106" s="11">
        <v>0.4567983811724996</v>
      </c>
      <c r="C106" s="11">
        <v>0.48338650201471239</v>
      </c>
      <c r="E106" s="11" t="str">
        <f t="shared" si="24"/>
        <v>IoU 50</v>
      </c>
      <c r="G106" s="35" t="str">
        <f t="shared" si="37"/>
        <v>IoU 50</v>
      </c>
      <c r="I106" s="11">
        <v>8.9212250485861483E-2</v>
      </c>
      <c r="J106" s="11">
        <v>0.56823353827731915</v>
      </c>
      <c r="K106" s="11">
        <v>0.42022972577229734</v>
      </c>
      <c r="M106" s="11">
        <f t="shared" si="27"/>
        <v>0.3287228943815903</v>
      </c>
      <c r="N106" s="35" t="str">
        <f t="shared" si="36"/>
        <v>IoU 50</v>
      </c>
      <c r="O106" s="35" t="str">
        <f t="shared" si="28"/>
        <v>IoU 50</v>
      </c>
      <c r="Q106" s="11">
        <v>0.44329100738271132</v>
      </c>
      <c r="R106" s="11">
        <v>0.57903391848619346</v>
      </c>
      <c r="S106" s="11">
        <v>0.54983509341319725</v>
      </c>
      <c r="U106" s="11">
        <f t="shared" si="29"/>
        <v>0.51116246293445244</v>
      </c>
      <c r="V106" s="35" t="str">
        <f t="shared" si="25"/>
        <v>IoU 75</v>
      </c>
      <c r="W106" s="35" t="str">
        <f t="shared" si="30"/>
        <v>IoU 75</v>
      </c>
      <c r="Z106" s="11">
        <v>0.2204471340775116</v>
      </c>
      <c r="AA106" s="11">
        <v>0.3349737395813972</v>
      </c>
      <c r="AC106" s="11">
        <v>0.2204471340775116</v>
      </c>
      <c r="AD106" s="35" t="str">
        <f t="shared" si="38"/>
        <v>IoU 25</v>
      </c>
      <c r="AE106" s="35" t="str">
        <f t="shared" si="33"/>
        <v>IoU 50</v>
      </c>
      <c r="AG106" s="11">
        <v>6.0530748626183968E-2</v>
      </c>
      <c r="AH106" s="11">
        <v>0.41639314549301343</v>
      </c>
      <c r="AI106" s="11">
        <v>0.40448618649925328</v>
      </c>
      <c r="AK106" s="11">
        <f t="shared" si="34"/>
        <v>0.23846194705959869</v>
      </c>
      <c r="AL106" s="35" t="str">
        <f t="shared" si="26"/>
        <v>IoU 25</v>
      </c>
      <c r="AM106" s="35" t="str">
        <f t="shared" si="35"/>
        <v>IoU 50</v>
      </c>
    </row>
    <row r="107" spans="1:39" x14ac:dyDescent="0.2">
      <c r="C107" s="11">
        <v>0.11584321003153771</v>
      </c>
      <c r="E107" s="11" t="str">
        <f t="shared" si="24"/>
        <v>IoU 25</v>
      </c>
      <c r="G107" s="35" t="str">
        <f t="shared" si="37"/>
        <v>IoU 25</v>
      </c>
      <c r="I107" s="11">
        <v>0.3424278491941592</v>
      </c>
      <c r="J107" s="11">
        <v>0.48830866805151762</v>
      </c>
      <c r="K107" s="11">
        <v>0.26011162669893773</v>
      </c>
      <c r="M107" s="11">
        <f t="shared" si="27"/>
        <v>0.41536825862283844</v>
      </c>
      <c r="N107" s="35" t="str">
        <f t="shared" si="36"/>
        <v>IoU 50</v>
      </c>
      <c r="O107" s="35" t="str">
        <f t="shared" si="28"/>
        <v>IoU 50</v>
      </c>
      <c r="Q107" s="11">
        <v>0</v>
      </c>
      <c r="R107" s="11">
        <v>0.36989927083831242</v>
      </c>
      <c r="S107" s="11">
        <v>0.38090137965988635</v>
      </c>
      <c r="U107" s="11">
        <f t="shared" si="29"/>
        <v>0.18494963541915621</v>
      </c>
      <c r="V107" s="35" t="str">
        <f t="shared" si="25"/>
        <v>IoU 25</v>
      </c>
      <c r="W107" s="35" t="str">
        <f t="shared" si="30"/>
        <v>IoU 50</v>
      </c>
      <c r="Y107" s="11">
        <v>0.37496013315453569</v>
      </c>
      <c r="Z107" s="11">
        <v>0.78664931295662632</v>
      </c>
      <c r="AA107" s="11">
        <v>0.49717469276530046</v>
      </c>
      <c r="AC107" s="11">
        <f t="shared" si="31"/>
        <v>0.58080472305558106</v>
      </c>
      <c r="AD107" s="35" t="str">
        <f t="shared" si="38"/>
        <v>IoU 75</v>
      </c>
      <c r="AE107" s="35" t="str">
        <f t="shared" si="33"/>
        <v>IoU 50</v>
      </c>
      <c r="AG107" s="11">
        <v>5.0937049641818069E-2</v>
      </c>
      <c r="AH107" s="11">
        <v>0.57864685041404429</v>
      </c>
      <c r="AI107" s="11">
        <v>9.1733768778080912E-2</v>
      </c>
      <c r="AK107" s="11">
        <f t="shared" si="34"/>
        <v>0.3147919500279312</v>
      </c>
      <c r="AL107" s="35" t="str">
        <f t="shared" si="26"/>
        <v>IoU 50</v>
      </c>
      <c r="AM107" s="35" t="str">
        <f t="shared" si="35"/>
        <v>IoU 25</v>
      </c>
    </row>
    <row r="108" spans="1:39" x14ac:dyDescent="0.2">
      <c r="A108" s="11">
        <v>0.69232518984960312</v>
      </c>
      <c r="C108" s="11">
        <v>0.42378892995142375</v>
      </c>
      <c r="E108" s="11" t="str">
        <f t="shared" si="24"/>
        <v>IoU 75</v>
      </c>
      <c r="G108" s="35" t="str">
        <f t="shared" si="37"/>
        <v>IoU 50</v>
      </c>
      <c r="I108" s="11">
        <v>0.27934337813975268</v>
      </c>
      <c r="J108" s="11">
        <v>0</v>
      </c>
      <c r="K108" s="11">
        <v>0.49671211261380077</v>
      </c>
      <c r="M108" s="11">
        <f t="shared" si="27"/>
        <v>0.13967168906987634</v>
      </c>
      <c r="N108" s="35" t="str">
        <f t="shared" si="36"/>
        <v>IoU 25</v>
      </c>
      <c r="O108" s="35" t="str">
        <f t="shared" si="28"/>
        <v>IoU 50</v>
      </c>
      <c r="Q108" s="11">
        <v>0.21870693874344177</v>
      </c>
      <c r="R108" s="11">
        <v>0.79898962657186912</v>
      </c>
      <c r="S108" s="11">
        <v>0.47897860399809145</v>
      </c>
      <c r="U108" s="11">
        <f t="shared" si="29"/>
        <v>0.50884828265765547</v>
      </c>
      <c r="V108" s="35" t="str">
        <f t="shared" si="25"/>
        <v>IoU 75</v>
      </c>
      <c r="W108" s="35" t="str">
        <f t="shared" si="30"/>
        <v>IoU 50</v>
      </c>
      <c r="Y108" s="11">
        <v>0.34227641231076844</v>
      </c>
      <c r="Z108" s="11">
        <v>0.4086866746578055</v>
      </c>
      <c r="AA108" s="11">
        <v>0.42992930177293326</v>
      </c>
      <c r="AC108" s="11">
        <f t="shared" si="31"/>
        <v>0.37548154348428697</v>
      </c>
      <c r="AD108" s="35" t="str">
        <f t="shared" si="38"/>
        <v>IoU 50</v>
      </c>
      <c r="AE108" s="35" t="str">
        <f t="shared" si="33"/>
        <v>IoU 50</v>
      </c>
      <c r="AG108" s="11">
        <v>0.19490472605480524</v>
      </c>
      <c r="AH108" s="11">
        <v>0.22955223768578367</v>
      </c>
      <c r="AI108" s="11">
        <v>0.38172820876390939</v>
      </c>
      <c r="AK108" s="11">
        <f t="shared" si="34"/>
        <v>0.21222848187029447</v>
      </c>
      <c r="AL108" s="35" t="str">
        <f t="shared" si="26"/>
        <v>IoU 25</v>
      </c>
      <c r="AM108" s="35" t="str">
        <f t="shared" si="35"/>
        <v>IoU 50</v>
      </c>
    </row>
    <row r="109" spans="1:39" x14ac:dyDescent="0.2">
      <c r="A109" s="11">
        <v>0.13752056753825354</v>
      </c>
      <c r="C109" s="11">
        <v>0.43786980259776331</v>
      </c>
      <c r="E109" s="11" t="str">
        <f t="shared" si="24"/>
        <v>IoU 25</v>
      </c>
      <c r="G109" s="35" t="str">
        <f t="shared" si="37"/>
        <v>IoU 50</v>
      </c>
      <c r="I109" s="11">
        <v>0.29639959027968976</v>
      </c>
      <c r="J109" s="11">
        <v>0.26714486391057635</v>
      </c>
      <c r="M109" s="11">
        <f t="shared" si="27"/>
        <v>0.28177222709513305</v>
      </c>
      <c r="N109" s="35" t="str">
        <f t="shared" si="36"/>
        <v>IoU 50</v>
      </c>
      <c r="O109" s="35"/>
      <c r="Q109" s="11">
        <v>0.28399649019559309</v>
      </c>
      <c r="R109" s="11">
        <v>0.48926729611817005</v>
      </c>
      <c r="S109" s="11">
        <v>0.47444132027602715</v>
      </c>
      <c r="U109" s="11">
        <f t="shared" si="29"/>
        <v>0.38663189315688157</v>
      </c>
      <c r="V109" s="35" t="str">
        <f t="shared" si="25"/>
        <v>IoU 50</v>
      </c>
      <c r="W109" s="35" t="str">
        <f t="shared" si="30"/>
        <v>IoU 50</v>
      </c>
      <c r="Y109" s="11">
        <v>0.15087812666311867</v>
      </c>
      <c r="Z109" s="11">
        <v>0.42459417391595783</v>
      </c>
      <c r="AA109" s="11">
        <v>0.58072378544580361</v>
      </c>
      <c r="AC109" s="11">
        <f t="shared" si="31"/>
        <v>0.28773615028953825</v>
      </c>
      <c r="AD109" s="35" t="str">
        <f t="shared" si="38"/>
        <v>IoU 50</v>
      </c>
      <c r="AE109" s="35" t="str">
        <f t="shared" si="33"/>
        <v>IoU 75</v>
      </c>
      <c r="AG109" s="11">
        <v>0</v>
      </c>
      <c r="AH109" s="11">
        <v>0.4274152705849531</v>
      </c>
      <c r="AI109" s="11">
        <v>0.29944943495097515</v>
      </c>
      <c r="AK109" s="11">
        <f t="shared" si="34"/>
        <v>0.21370763529247655</v>
      </c>
      <c r="AL109" s="35" t="str">
        <f t="shared" si="26"/>
        <v>IoU 25</v>
      </c>
      <c r="AM109" s="35" t="str">
        <f t="shared" si="35"/>
        <v>IoU 50</v>
      </c>
    </row>
    <row r="110" spans="1:39" x14ac:dyDescent="0.2">
      <c r="A110" s="11">
        <v>0.39825605215412024</v>
      </c>
      <c r="C110" s="11">
        <v>0.40993060944200932</v>
      </c>
      <c r="E110" s="11" t="str">
        <f t="shared" si="24"/>
        <v>IoU 50</v>
      </c>
      <c r="G110" s="35" t="str">
        <f t="shared" si="37"/>
        <v>IoU 50</v>
      </c>
      <c r="I110" s="11">
        <v>0.3967560736943524</v>
      </c>
      <c r="J110" s="11">
        <v>0.59530929447294756</v>
      </c>
      <c r="K110" s="11">
        <v>0.38978333551490435</v>
      </c>
      <c r="M110" s="11">
        <f t="shared" si="27"/>
        <v>0.49603268408364998</v>
      </c>
      <c r="N110" s="35" t="str">
        <f t="shared" si="36"/>
        <v>IoU 50</v>
      </c>
      <c r="O110" s="35" t="str">
        <f t="shared" si="28"/>
        <v>IoU 50</v>
      </c>
      <c r="Q110" s="11">
        <v>0.55064119153325097</v>
      </c>
      <c r="R110" s="11">
        <v>3.5020218758331202E-2</v>
      </c>
      <c r="S110" s="11">
        <v>0.40814217273523956</v>
      </c>
      <c r="U110" s="11">
        <f t="shared" si="29"/>
        <v>0.29283070514579107</v>
      </c>
      <c r="V110" s="35" t="str">
        <f t="shared" si="25"/>
        <v>IoU 50</v>
      </c>
      <c r="W110" s="35" t="str">
        <f t="shared" si="30"/>
        <v>IoU 50</v>
      </c>
      <c r="Y110" s="11">
        <v>0.23962290910054873</v>
      </c>
      <c r="Z110" s="11">
        <v>0.7831232253399032</v>
      </c>
      <c r="AA110" s="11">
        <v>0.52837371606562877</v>
      </c>
      <c r="AC110" s="11">
        <f t="shared" si="31"/>
        <v>0.51137306722022591</v>
      </c>
      <c r="AD110" s="35" t="str">
        <f t="shared" si="38"/>
        <v>IoU 75</v>
      </c>
      <c r="AE110" s="35" t="str">
        <f t="shared" si="33"/>
        <v>IoU 75</v>
      </c>
      <c r="AG110" s="11">
        <v>0.1866488185000274</v>
      </c>
      <c r="AH110" s="11">
        <v>0.1656567108993057</v>
      </c>
      <c r="AI110" s="11">
        <v>0.25629136781462408</v>
      </c>
      <c r="AK110" s="11">
        <f t="shared" si="34"/>
        <v>0.17615276469966656</v>
      </c>
      <c r="AL110" s="35" t="str">
        <f t="shared" si="26"/>
        <v>IoU 25</v>
      </c>
      <c r="AM110" s="35" t="str">
        <f t="shared" si="35"/>
        <v>IoU 50</v>
      </c>
    </row>
    <row r="111" spans="1:39" x14ac:dyDescent="0.2">
      <c r="A111" s="11">
        <v>0.70913054738852588</v>
      </c>
      <c r="C111" s="11">
        <v>0.5154945987457592</v>
      </c>
      <c r="E111" s="11" t="str">
        <f t="shared" si="24"/>
        <v>IoU 75</v>
      </c>
      <c r="G111" s="35" t="str">
        <f t="shared" si="37"/>
        <v>IoU 75</v>
      </c>
      <c r="J111" s="11">
        <v>1.6895757703303351E-4</v>
      </c>
      <c r="K111" s="11">
        <v>0.20781381935431312</v>
      </c>
      <c r="M111" s="11">
        <v>1.6895757703303351E-4</v>
      </c>
      <c r="N111" s="35" t="str">
        <f t="shared" si="36"/>
        <v>IoU 25</v>
      </c>
      <c r="O111" s="35" t="str">
        <f t="shared" si="28"/>
        <v>IoU 25</v>
      </c>
      <c r="Q111" s="11">
        <v>0.2914052147808025</v>
      </c>
      <c r="R111" s="11">
        <v>0.69915409713650711</v>
      </c>
      <c r="S111" s="11">
        <v>0.33152678608377228</v>
      </c>
      <c r="U111" s="11">
        <f t="shared" si="29"/>
        <v>0.49527965595865481</v>
      </c>
      <c r="V111" s="35" t="str">
        <f t="shared" si="25"/>
        <v>IoU 50</v>
      </c>
      <c r="W111" s="35" t="str">
        <f t="shared" si="30"/>
        <v>IoU 50</v>
      </c>
      <c r="Y111" s="11">
        <v>9.8352713178294568E-2</v>
      </c>
      <c r="Z111" s="11">
        <v>0.80009609200581555</v>
      </c>
      <c r="AA111" s="11">
        <v>0.24243488379043998</v>
      </c>
      <c r="AC111" s="11">
        <f t="shared" si="31"/>
        <v>0.44922440259205504</v>
      </c>
      <c r="AD111" s="35" t="str">
        <f t="shared" si="38"/>
        <v>IoU 50</v>
      </c>
      <c r="AE111" s="35" t="str">
        <f t="shared" si="33"/>
        <v>IoU 25</v>
      </c>
      <c r="AG111" s="11">
        <v>0</v>
      </c>
      <c r="AH111" s="11">
        <v>0.57279730353119485</v>
      </c>
      <c r="AI111" s="11">
        <v>0.30619978538437881</v>
      </c>
      <c r="AK111" s="11">
        <f t="shared" si="34"/>
        <v>0.28639865176559742</v>
      </c>
      <c r="AL111" s="35" t="str">
        <f t="shared" si="26"/>
        <v>IoU 50</v>
      </c>
      <c r="AM111" s="35" t="str">
        <f t="shared" si="35"/>
        <v>IoU 50</v>
      </c>
    </row>
    <row r="112" spans="1:39" x14ac:dyDescent="0.2">
      <c r="A112" s="11">
        <v>0.39430893523346144</v>
      </c>
      <c r="C112" s="11">
        <v>0.26655802010552271</v>
      </c>
      <c r="E112" s="11" t="str">
        <f t="shared" si="24"/>
        <v>IoU 50</v>
      </c>
      <c r="G112" s="35" t="str">
        <f t="shared" si="37"/>
        <v>IoU 50</v>
      </c>
      <c r="I112" s="11">
        <v>0.24918992720161753</v>
      </c>
      <c r="J112" s="11">
        <v>0</v>
      </c>
      <c r="K112" s="11">
        <v>0.38205896834920783</v>
      </c>
      <c r="M112" s="11">
        <f t="shared" si="27"/>
        <v>0.12459496360080877</v>
      </c>
      <c r="N112" s="35" t="str">
        <f t="shared" si="36"/>
        <v>IoU 25</v>
      </c>
      <c r="O112" s="35" t="str">
        <f t="shared" si="28"/>
        <v>IoU 50</v>
      </c>
      <c r="Q112" s="11">
        <v>0.32505339168041714</v>
      </c>
      <c r="R112" s="11">
        <v>0.33135238721662164</v>
      </c>
      <c r="S112" s="11">
        <v>0.40855043411339304</v>
      </c>
      <c r="U112" s="11">
        <f t="shared" si="29"/>
        <v>0.32820288944851939</v>
      </c>
      <c r="V112" s="35" t="str">
        <f t="shared" si="25"/>
        <v>IoU 50</v>
      </c>
      <c r="W112" s="35" t="str">
        <f t="shared" si="30"/>
        <v>IoU 50</v>
      </c>
      <c r="Y112" s="11">
        <v>0.56253785650802413</v>
      </c>
      <c r="Z112" s="11">
        <v>0.39043569494245889</v>
      </c>
      <c r="AA112" s="11">
        <v>0.51319689217758269</v>
      </c>
      <c r="AC112" s="11">
        <f t="shared" si="31"/>
        <v>0.47648677572524151</v>
      </c>
      <c r="AD112" s="35" t="str">
        <f t="shared" si="38"/>
        <v>IoU 50</v>
      </c>
      <c r="AE112" s="35" t="str">
        <f t="shared" si="33"/>
        <v>IoU 75</v>
      </c>
      <c r="AG112" s="11">
        <v>0.16747350403015843</v>
      </c>
      <c r="AH112" s="11">
        <v>0</v>
      </c>
      <c r="AI112" s="11">
        <v>0.39272173123195409</v>
      </c>
      <c r="AK112" s="11">
        <f t="shared" si="34"/>
        <v>8.3736752015079213E-2</v>
      </c>
      <c r="AL112" s="35" t="str">
        <f t="shared" si="26"/>
        <v>IoU 25</v>
      </c>
      <c r="AM112" s="35" t="str">
        <f t="shared" si="35"/>
        <v>IoU 50</v>
      </c>
    </row>
    <row r="113" spans="1:39" x14ac:dyDescent="0.2">
      <c r="A113" s="11">
        <v>0.45029145032602846</v>
      </c>
      <c r="C113" s="11">
        <v>0.61830310216828355</v>
      </c>
      <c r="E113" s="11" t="str">
        <f t="shared" si="24"/>
        <v>IoU 50</v>
      </c>
      <c r="G113" s="35" t="str">
        <f t="shared" si="37"/>
        <v>IoU 75</v>
      </c>
      <c r="I113" s="11">
        <v>0.19745904066351669</v>
      </c>
      <c r="J113" s="11">
        <v>0.37834076438564335</v>
      </c>
      <c r="K113" s="11">
        <v>0.30531389983603091</v>
      </c>
      <c r="M113" s="11">
        <f t="shared" si="27"/>
        <v>0.28789990252458003</v>
      </c>
      <c r="N113" s="35" t="str">
        <f t="shared" si="36"/>
        <v>IoU 50</v>
      </c>
      <c r="O113" s="35" t="str">
        <f t="shared" si="28"/>
        <v>IoU 50</v>
      </c>
      <c r="Q113" s="11">
        <v>0.39575121923353618</v>
      </c>
      <c r="R113" s="11">
        <v>0.79500578088664842</v>
      </c>
      <c r="S113" s="11">
        <v>0.4542777603919414</v>
      </c>
      <c r="U113" s="11">
        <f t="shared" si="29"/>
        <v>0.5953785000600923</v>
      </c>
      <c r="V113" s="35" t="str">
        <f t="shared" si="25"/>
        <v>IoU 75</v>
      </c>
      <c r="W113" s="35" t="str">
        <f t="shared" si="30"/>
        <v>IoU 50</v>
      </c>
      <c r="Z113" s="11">
        <v>0.77924752304220735</v>
      </c>
      <c r="AC113" s="11">
        <v>0.77924752304220735</v>
      </c>
      <c r="AD113" s="35" t="str">
        <f t="shared" si="38"/>
        <v>IoU 100</v>
      </c>
      <c r="AE113" s="35"/>
      <c r="AG113" s="11">
        <v>0.37908325017168476</v>
      </c>
      <c r="AH113" s="11">
        <v>5.3789809737133439E-2</v>
      </c>
      <c r="AI113" s="11">
        <v>0.46458888851124264</v>
      </c>
      <c r="AK113" s="11">
        <f t="shared" si="34"/>
        <v>0.2164365299544091</v>
      </c>
      <c r="AL113" s="35" t="str">
        <f t="shared" si="26"/>
        <v>IoU 25</v>
      </c>
      <c r="AM113" s="35" t="str">
        <f t="shared" si="35"/>
        <v>IoU 50</v>
      </c>
    </row>
    <row r="114" spans="1:39" x14ac:dyDescent="0.2">
      <c r="C114" s="11">
        <v>0.49050441247151355</v>
      </c>
      <c r="E114" s="11" t="str">
        <f t="shared" si="24"/>
        <v>IoU 25</v>
      </c>
      <c r="G114" s="35" t="str">
        <f t="shared" si="37"/>
        <v>IoU 50</v>
      </c>
      <c r="I114" s="11">
        <v>0.56894099819715915</v>
      </c>
      <c r="J114" s="11">
        <v>0.40699939351689013</v>
      </c>
      <c r="M114" s="11">
        <f t="shared" si="27"/>
        <v>0.48797019585702461</v>
      </c>
      <c r="N114" s="35" t="str">
        <f t="shared" ref="N114:N145" si="39">VLOOKUP(M114,IoU_Thresholds,2,TRUE)</f>
        <v>IoU 50</v>
      </c>
      <c r="O114" s="35"/>
      <c r="Q114" s="11">
        <v>0.4910326627505851</v>
      </c>
      <c r="R114" s="11">
        <v>0.63475419161152202</v>
      </c>
      <c r="S114" s="11">
        <v>0.33498281170637417</v>
      </c>
      <c r="U114" s="11">
        <f t="shared" si="29"/>
        <v>0.56289342718105351</v>
      </c>
      <c r="V114" s="35" t="str">
        <f t="shared" si="25"/>
        <v>IoU 75</v>
      </c>
      <c r="W114" s="35" t="str">
        <f t="shared" si="30"/>
        <v>IoU 50</v>
      </c>
      <c r="Y114" s="11">
        <v>0.31553625228173943</v>
      </c>
      <c r="Z114" s="11">
        <v>0.21119336882320167</v>
      </c>
      <c r="AA114" s="11">
        <v>0.36228011612912536</v>
      </c>
      <c r="AC114" s="11">
        <f t="shared" si="31"/>
        <v>0.26336481055247052</v>
      </c>
      <c r="AD114" s="35" t="str">
        <f t="shared" si="38"/>
        <v>IoU 50</v>
      </c>
      <c r="AE114" s="35" t="str">
        <f t="shared" si="33"/>
        <v>IoU 50</v>
      </c>
      <c r="AG114" s="11">
        <v>0</v>
      </c>
      <c r="AH114" s="11">
        <v>0.43757568123948748</v>
      </c>
      <c r="AI114" s="11">
        <v>0.21438237541454064</v>
      </c>
      <c r="AK114" s="11">
        <f t="shared" si="34"/>
        <v>0.21878784061974374</v>
      </c>
      <c r="AL114" s="35" t="str">
        <f t="shared" si="26"/>
        <v>IoU 25</v>
      </c>
      <c r="AM114" s="35" t="str">
        <f t="shared" si="35"/>
        <v>IoU 25</v>
      </c>
    </row>
    <row r="115" spans="1:39" x14ac:dyDescent="0.2">
      <c r="A115" s="11">
        <v>0.80125755162193257</v>
      </c>
      <c r="C115" s="11">
        <v>0.38749448927183366</v>
      </c>
      <c r="E115" s="11" t="str">
        <f t="shared" si="24"/>
        <v>IoU 100</v>
      </c>
      <c r="G115" s="35" t="str">
        <f t="shared" si="37"/>
        <v>IoU 50</v>
      </c>
      <c r="I115" s="11">
        <v>0.25639256492703094</v>
      </c>
      <c r="J115" s="11">
        <v>0.41325908866520389</v>
      </c>
      <c r="K115" s="11">
        <v>0.4301961860404393</v>
      </c>
      <c r="M115" s="11">
        <f t="shared" si="27"/>
        <v>0.33482582679611739</v>
      </c>
      <c r="N115" s="35" t="str">
        <f t="shared" si="39"/>
        <v>IoU 50</v>
      </c>
      <c r="O115" s="35" t="str">
        <f t="shared" si="28"/>
        <v>IoU 50</v>
      </c>
      <c r="Q115" s="11">
        <v>0.50643957049963273</v>
      </c>
      <c r="R115" s="11">
        <v>0.38605222413589602</v>
      </c>
      <c r="S115" s="11">
        <v>0.31127466047933261</v>
      </c>
      <c r="U115" s="11">
        <f t="shared" si="29"/>
        <v>0.44624589731776437</v>
      </c>
      <c r="V115" s="35" t="str">
        <f t="shared" si="25"/>
        <v>IoU 50</v>
      </c>
      <c r="W115" s="35" t="str">
        <f t="shared" si="30"/>
        <v>IoU 50</v>
      </c>
      <c r="Z115" s="11">
        <v>0.21000436906136194</v>
      </c>
      <c r="AA115" s="11">
        <v>0.5373464082191437</v>
      </c>
      <c r="AC115" s="11">
        <v>0.21000436906136194</v>
      </c>
      <c r="AD115" s="35" t="str">
        <f t="shared" si="38"/>
        <v>IoU 25</v>
      </c>
      <c r="AE115" s="35" t="str">
        <f t="shared" si="33"/>
        <v>IoU 75</v>
      </c>
      <c r="AG115" s="11">
        <v>1.2252654556188812E-2</v>
      </c>
      <c r="AH115" s="11">
        <v>0.5261278542690756</v>
      </c>
      <c r="AI115" s="11">
        <v>0.47057284228596519</v>
      </c>
      <c r="AK115" s="11">
        <f t="shared" si="34"/>
        <v>0.26919025441263222</v>
      </c>
      <c r="AL115" s="35" t="str">
        <f t="shared" si="26"/>
        <v>IoU 50</v>
      </c>
      <c r="AM115" s="35" t="str">
        <f t="shared" si="35"/>
        <v>IoU 50</v>
      </c>
    </row>
    <row r="116" spans="1:39" x14ac:dyDescent="0.2">
      <c r="A116" s="11">
        <v>0.20230623516523644</v>
      </c>
      <c r="C116" s="11">
        <v>0.20833816512917391</v>
      </c>
      <c r="E116" s="11" t="str">
        <f t="shared" si="24"/>
        <v>IoU 25</v>
      </c>
      <c r="G116" s="35" t="str">
        <f t="shared" si="37"/>
        <v>IoU 25</v>
      </c>
      <c r="I116" s="11">
        <v>8.6429830507112948E-2</v>
      </c>
      <c r="J116" s="11">
        <v>0.25050339741028954</v>
      </c>
      <c r="K116" s="11">
        <v>0.43214915941870646</v>
      </c>
      <c r="M116" s="11">
        <f t="shared" si="27"/>
        <v>0.16846661395870124</v>
      </c>
      <c r="N116" s="35" t="str">
        <f t="shared" si="39"/>
        <v>IoU 25</v>
      </c>
      <c r="O116" s="35" t="str">
        <f t="shared" si="28"/>
        <v>IoU 50</v>
      </c>
      <c r="Q116" s="11">
        <v>0.42321584579021448</v>
      </c>
      <c r="R116" s="11">
        <v>0.37653394889917002</v>
      </c>
      <c r="S116" s="11">
        <v>0.49632585751434322</v>
      </c>
      <c r="U116" s="11">
        <f t="shared" si="29"/>
        <v>0.39987489734469228</v>
      </c>
      <c r="V116" s="35" t="str">
        <f t="shared" si="25"/>
        <v>IoU 50</v>
      </c>
      <c r="W116" s="35" t="str">
        <f t="shared" si="30"/>
        <v>IoU 50</v>
      </c>
      <c r="Y116" s="11">
        <v>0.30741840608410109</v>
      </c>
      <c r="Z116" s="11">
        <v>0.49936088522802058</v>
      </c>
      <c r="AA116" s="11">
        <v>0.26262135741350817</v>
      </c>
      <c r="AC116" s="11">
        <f t="shared" si="31"/>
        <v>0.40338964565606084</v>
      </c>
      <c r="AD116" s="35" t="str">
        <f t="shared" si="38"/>
        <v>IoU 50</v>
      </c>
      <c r="AE116" s="35" t="str">
        <f t="shared" si="33"/>
        <v>IoU 50</v>
      </c>
      <c r="AG116" s="11">
        <v>0.21513057081898837</v>
      </c>
      <c r="AH116" s="11">
        <v>0.43009601649267298</v>
      </c>
      <c r="AI116" s="11">
        <v>0.33687575223708821</v>
      </c>
      <c r="AK116" s="11">
        <f t="shared" si="34"/>
        <v>0.32261329365583069</v>
      </c>
      <c r="AL116" s="35" t="str">
        <f t="shared" si="26"/>
        <v>IoU 50</v>
      </c>
      <c r="AM116" s="35" t="str">
        <f t="shared" si="35"/>
        <v>IoU 50</v>
      </c>
    </row>
    <row r="117" spans="1:39" x14ac:dyDescent="0.2">
      <c r="A117" s="11">
        <v>0.27426397738772129</v>
      </c>
      <c r="C117" s="11">
        <v>0.16551623551809694</v>
      </c>
      <c r="E117" s="11" t="str">
        <f t="shared" si="24"/>
        <v>IoU 50</v>
      </c>
      <c r="G117" s="35" t="str">
        <f t="shared" si="37"/>
        <v>IoU 25</v>
      </c>
      <c r="I117" s="11">
        <v>0.22858213639469671</v>
      </c>
      <c r="J117" s="11">
        <v>0</v>
      </c>
      <c r="K117" s="11">
        <v>0.34962805013007525</v>
      </c>
      <c r="M117" s="11">
        <f t="shared" si="27"/>
        <v>0.11429106819734836</v>
      </c>
      <c r="N117" s="35" t="str">
        <f t="shared" si="39"/>
        <v>IoU 25</v>
      </c>
      <c r="O117" s="35" t="str">
        <f t="shared" si="28"/>
        <v>IoU 50</v>
      </c>
      <c r="Q117" s="11">
        <v>0.36937623534903946</v>
      </c>
      <c r="R117" s="11">
        <v>0.75007353554383505</v>
      </c>
      <c r="S117" s="11">
        <v>0.60656129845521944</v>
      </c>
      <c r="U117" s="11">
        <f t="shared" si="29"/>
        <v>0.55972488544643728</v>
      </c>
      <c r="V117" s="35" t="str">
        <f t="shared" si="25"/>
        <v>IoU 75</v>
      </c>
      <c r="W117" s="35" t="str">
        <f t="shared" si="30"/>
        <v>IoU 75</v>
      </c>
      <c r="Y117" s="11">
        <v>0.14561553904114344</v>
      </c>
      <c r="Z117" s="11">
        <v>0.72440764580918193</v>
      </c>
      <c r="AA117" s="11">
        <v>0.2790571704521595</v>
      </c>
      <c r="AC117" s="11">
        <f t="shared" si="31"/>
        <v>0.43501159242516269</v>
      </c>
      <c r="AD117" s="35" t="str">
        <f t="shared" si="38"/>
        <v>IoU 50</v>
      </c>
      <c r="AE117" s="35" t="str">
        <f t="shared" si="33"/>
        <v>IoU 50</v>
      </c>
      <c r="AG117" s="11">
        <v>0</v>
      </c>
      <c r="AH117" s="11">
        <v>0.60577803452580015</v>
      </c>
      <c r="AI117" s="11">
        <v>0.28943129048898086</v>
      </c>
      <c r="AK117" s="11">
        <f t="shared" si="34"/>
        <v>0.30288901726290007</v>
      </c>
      <c r="AL117" s="35" t="str">
        <f t="shared" si="26"/>
        <v>IoU 50</v>
      </c>
      <c r="AM117" s="35" t="str">
        <f t="shared" si="35"/>
        <v>IoU 50</v>
      </c>
    </row>
    <row r="118" spans="1:39" x14ac:dyDescent="0.2">
      <c r="A118" s="11">
        <v>0.76263118284496834</v>
      </c>
      <c r="C118" s="11">
        <v>0.1509699339929256</v>
      </c>
      <c r="E118" s="11" t="str">
        <f t="shared" si="24"/>
        <v>IoU 100</v>
      </c>
      <c r="G118" s="35" t="str">
        <f t="shared" si="37"/>
        <v>IoU 25</v>
      </c>
      <c r="I118" s="11">
        <v>0.43405275006061189</v>
      </c>
      <c r="J118" s="11">
        <v>0.20878798388602834</v>
      </c>
      <c r="K118" s="11">
        <v>0.41054466389089345</v>
      </c>
      <c r="M118" s="11">
        <f t="shared" si="27"/>
        <v>0.3214203669733201</v>
      </c>
      <c r="N118" s="35" t="str">
        <f t="shared" si="39"/>
        <v>IoU 50</v>
      </c>
      <c r="O118" s="35" t="str">
        <f t="shared" si="28"/>
        <v>IoU 50</v>
      </c>
      <c r="Q118" s="11">
        <v>0.21209370369164215</v>
      </c>
      <c r="R118" s="11">
        <v>0.69337231124356713</v>
      </c>
      <c r="S118" s="11">
        <v>0.5242353538294644</v>
      </c>
      <c r="U118" s="11">
        <f t="shared" si="29"/>
        <v>0.45273300746760464</v>
      </c>
      <c r="V118" s="35" t="str">
        <f t="shared" si="25"/>
        <v>IoU 50</v>
      </c>
      <c r="W118" s="35" t="str">
        <f t="shared" si="30"/>
        <v>IoU 75</v>
      </c>
      <c r="Y118" s="11">
        <v>0.41087366623143701</v>
      </c>
      <c r="Z118" s="11">
        <v>0.43401441443939381</v>
      </c>
      <c r="AA118" s="11">
        <v>0.33123440910442392</v>
      </c>
      <c r="AC118" s="11">
        <f t="shared" si="31"/>
        <v>0.42244404033541538</v>
      </c>
      <c r="AD118" s="35" t="str">
        <f t="shared" si="38"/>
        <v>IoU 50</v>
      </c>
      <c r="AE118" s="35" t="str">
        <f t="shared" si="33"/>
        <v>IoU 50</v>
      </c>
      <c r="AG118" s="11">
        <v>0.13340770696787987</v>
      </c>
      <c r="AH118" s="11">
        <v>0.57537803565091283</v>
      </c>
      <c r="AI118" s="11">
        <v>0.46989718278587944</v>
      </c>
      <c r="AK118" s="11">
        <f t="shared" si="34"/>
        <v>0.35439287130939634</v>
      </c>
      <c r="AL118" s="35" t="str">
        <f t="shared" si="26"/>
        <v>IoU 50</v>
      </c>
      <c r="AM118" s="35" t="str">
        <f t="shared" si="35"/>
        <v>IoU 50</v>
      </c>
    </row>
    <row r="119" spans="1:39" x14ac:dyDescent="0.2">
      <c r="A119" s="11">
        <v>0.27588927504408428</v>
      </c>
      <c r="C119" s="11">
        <v>0.19145474658228151</v>
      </c>
      <c r="E119" s="11" t="str">
        <f t="shared" si="24"/>
        <v>IoU 50</v>
      </c>
      <c r="G119" s="35" t="str">
        <f t="shared" si="37"/>
        <v>IoU 25</v>
      </c>
      <c r="I119" s="11">
        <v>0.20693549548647888</v>
      </c>
      <c r="J119" s="11">
        <v>0.47929922901391642</v>
      </c>
      <c r="K119" s="11">
        <v>0.46403900151890337</v>
      </c>
      <c r="M119" s="11">
        <f t="shared" si="27"/>
        <v>0.34311736225019762</v>
      </c>
      <c r="N119" s="35" t="str">
        <f t="shared" si="39"/>
        <v>IoU 50</v>
      </c>
      <c r="O119" s="35" t="str">
        <f t="shared" si="28"/>
        <v>IoU 50</v>
      </c>
      <c r="Q119" s="11">
        <v>0.54316271489695944</v>
      </c>
      <c r="R119" s="11">
        <v>0.26244953788138425</v>
      </c>
      <c r="S119" s="11">
        <v>0.5171366674871104</v>
      </c>
      <c r="U119" s="11">
        <f t="shared" si="29"/>
        <v>0.40280612638917185</v>
      </c>
      <c r="V119" s="35" t="str">
        <f t="shared" si="25"/>
        <v>IoU 50</v>
      </c>
      <c r="W119" s="35" t="str">
        <f t="shared" si="30"/>
        <v>IoU 75</v>
      </c>
      <c r="Y119" s="11">
        <v>0.1882681764431863</v>
      </c>
      <c r="Z119" s="11">
        <v>0.3951375359793402</v>
      </c>
      <c r="AA119" s="11">
        <v>0.43389711878108189</v>
      </c>
      <c r="AC119" s="11">
        <f t="shared" si="31"/>
        <v>0.29170285621126324</v>
      </c>
      <c r="AD119" s="35" t="str">
        <f t="shared" si="38"/>
        <v>IoU 50</v>
      </c>
      <c r="AE119" s="35" t="str">
        <f t="shared" si="33"/>
        <v>IoU 50</v>
      </c>
      <c r="AG119" s="11">
        <v>0.13329151753358554</v>
      </c>
      <c r="AH119" s="11">
        <v>0.43625522369196357</v>
      </c>
      <c r="AI119" s="11">
        <v>0.24106079978342879</v>
      </c>
      <c r="AK119" s="11">
        <f t="shared" si="34"/>
        <v>0.28477337061277452</v>
      </c>
      <c r="AL119" s="35" t="str">
        <f t="shared" si="26"/>
        <v>IoU 50</v>
      </c>
      <c r="AM119" s="35" t="str">
        <f t="shared" si="35"/>
        <v>IoU 25</v>
      </c>
    </row>
    <row r="120" spans="1:39" x14ac:dyDescent="0.2">
      <c r="A120" s="11">
        <v>0.3416317225480579</v>
      </c>
      <c r="C120" s="11">
        <v>0.27205457144790524</v>
      </c>
      <c r="E120" s="11" t="str">
        <f t="shared" si="24"/>
        <v>IoU 50</v>
      </c>
      <c r="G120" s="35" t="str">
        <f t="shared" si="37"/>
        <v>IoU 50</v>
      </c>
      <c r="J120" s="11">
        <v>8.4779484224144566E-2</v>
      </c>
      <c r="K120" s="11">
        <v>0.38374322604329714</v>
      </c>
      <c r="M120" s="11">
        <v>8.4779484224144566E-2</v>
      </c>
      <c r="N120" s="35" t="str">
        <f t="shared" si="39"/>
        <v>IoU 25</v>
      </c>
      <c r="O120" s="35" t="str">
        <f t="shared" si="28"/>
        <v>IoU 50</v>
      </c>
      <c r="Q120" s="11">
        <v>3.904432187034626E-2</v>
      </c>
      <c r="R120" s="11">
        <v>0.75955937579764898</v>
      </c>
      <c r="S120" s="11">
        <v>0.56188737717677051</v>
      </c>
      <c r="U120" s="11">
        <f t="shared" si="29"/>
        <v>0.39930184883399761</v>
      </c>
      <c r="V120" s="35" t="str">
        <f t="shared" si="25"/>
        <v>IoU 50</v>
      </c>
      <c r="W120" s="35" t="str">
        <f t="shared" si="30"/>
        <v>IoU 75</v>
      </c>
      <c r="Y120" s="11">
        <v>0.39769589681907025</v>
      </c>
      <c r="AA120" s="11">
        <v>0.41557744225851412</v>
      </c>
      <c r="AC120" s="11">
        <v>0.39769589681907025</v>
      </c>
      <c r="AD120" s="35" t="str">
        <f t="shared" si="38"/>
        <v>IoU 50</v>
      </c>
      <c r="AE120" s="35" t="str">
        <f t="shared" si="33"/>
        <v>IoU 50</v>
      </c>
      <c r="AG120" s="11">
        <v>2.8047652721754118E-2</v>
      </c>
      <c r="AH120" s="11">
        <v>0.75495982387270322</v>
      </c>
      <c r="AI120" s="11">
        <v>0.34931266175485931</v>
      </c>
      <c r="AK120" s="11">
        <f t="shared" si="34"/>
        <v>0.39150373829722868</v>
      </c>
      <c r="AL120" s="35" t="str">
        <f t="shared" si="26"/>
        <v>IoU 50</v>
      </c>
      <c r="AM120" s="35" t="str">
        <f t="shared" si="35"/>
        <v>IoU 50</v>
      </c>
    </row>
    <row r="121" spans="1:39" x14ac:dyDescent="0.2">
      <c r="A121" s="11">
        <v>0.70629490121379479</v>
      </c>
      <c r="C121" s="11">
        <v>8.4458577263277601E-2</v>
      </c>
      <c r="E121" s="11" t="str">
        <f t="shared" si="24"/>
        <v>IoU 75</v>
      </c>
      <c r="G121" s="35" t="str">
        <f t="shared" si="37"/>
        <v>IoU 25</v>
      </c>
      <c r="I121" s="11">
        <v>0.20106428185119368</v>
      </c>
      <c r="J121" s="11">
        <v>0.43174124012233017</v>
      </c>
      <c r="K121" s="11">
        <v>0.31650082842859728</v>
      </c>
      <c r="M121" s="11">
        <f t="shared" si="27"/>
        <v>0.3164027609867619</v>
      </c>
      <c r="N121" s="35" t="str">
        <f t="shared" si="39"/>
        <v>IoU 50</v>
      </c>
      <c r="O121" s="35" t="str">
        <f t="shared" si="28"/>
        <v>IoU 50</v>
      </c>
      <c r="Q121" s="11">
        <v>0.41542594886084833</v>
      </c>
      <c r="R121" s="11">
        <v>0.42134707479858147</v>
      </c>
      <c r="S121" s="11">
        <v>0.49923425586839154</v>
      </c>
      <c r="U121" s="11">
        <f t="shared" si="29"/>
        <v>0.41838651182971487</v>
      </c>
      <c r="V121" s="35" t="str">
        <f t="shared" si="25"/>
        <v>IoU 50</v>
      </c>
      <c r="W121" s="35" t="str">
        <f t="shared" si="30"/>
        <v>IoU 50</v>
      </c>
      <c r="Y121" s="11">
        <v>0.35928615751337656</v>
      </c>
      <c r="Z121" s="11">
        <v>0.77656255550306508</v>
      </c>
      <c r="AA121" s="11">
        <v>0.42312621266954764</v>
      </c>
      <c r="AC121" s="11">
        <f t="shared" si="31"/>
        <v>0.56792435650822082</v>
      </c>
      <c r="AD121" s="35" t="str">
        <f t="shared" si="38"/>
        <v>IoU 75</v>
      </c>
      <c r="AE121" s="35" t="str">
        <f t="shared" si="33"/>
        <v>IoU 50</v>
      </c>
      <c r="AG121" s="11">
        <v>0.42797998666824383</v>
      </c>
      <c r="AH121" s="11">
        <v>0.23784014348404492</v>
      </c>
      <c r="AI121" s="11">
        <v>0.48241619924965295</v>
      </c>
      <c r="AK121" s="11">
        <f t="shared" si="34"/>
        <v>0.3329100650761444</v>
      </c>
      <c r="AL121" s="35" t="str">
        <f t="shared" si="26"/>
        <v>IoU 50</v>
      </c>
      <c r="AM121" s="35" t="str">
        <f t="shared" si="35"/>
        <v>IoU 50</v>
      </c>
    </row>
    <row r="122" spans="1:39" x14ac:dyDescent="0.2">
      <c r="A122" s="11">
        <v>0.50425835903524296</v>
      </c>
      <c r="C122" s="11">
        <v>0.49521200476857724</v>
      </c>
      <c r="E122" s="11" t="str">
        <f t="shared" si="24"/>
        <v>IoU 75</v>
      </c>
      <c r="G122" s="35" t="str">
        <f t="shared" si="37"/>
        <v>IoU 50</v>
      </c>
      <c r="I122" s="11">
        <v>0</v>
      </c>
      <c r="J122" s="11">
        <v>0.2894288991033232</v>
      </c>
      <c r="K122" s="11">
        <v>0.33356803401514035</v>
      </c>
      <c r="M122" s="11">
        <f t="shared" si="27"/>
        <v>0.1447144495516616</v>
      </c>
      <c r="N122" s="35" t="str">
        <f t="shared" si="39"/>
        <v>IoU 25</v>
      </c>
      <c r="O122" s="35" t="str">
        <f t="shared" si="28"/>
        <v>IoU 50</v>
      </c>
      <c r="Q122" s="11">
        <v>0.55065524413512712</v>
      </c>
      <c r="R122" s="11">
        <v>0.64792799319916594</v>
      </c>
      <c r="S122" s="11">
        <v>0.54969497714493332</v>
      </c>
      <c r="U122" s="11">
        <f t="shared" si="29"/>
        <v>0.59929161866714653</v>
      </c>
      <c r="V122" s="35" t="str">
        <f t="shared" si="25"/>
        <v>IoU 75</v>
      </c>
      <c r="W122" s="35" t="str">
        <f t="shared" si="30"/>
        <v>IoU 75</v>
      </c>
      <c r="Y122" s="11">
        <v>9.1060102688009667E-2</v>
      </c>
      <c r="AA122" s="11">
        <v>0.42413760008926638</v>
      </c>
      <c r="AC122" s="11">
        <v>9.1060102688009667E-2</v>
      </c>
      <c r="AD122" s="35" t="str">
        <f t="shared" si="38"/>
        <v>IoU 25</v>
      </c>
      <c r="AE122" s="35" t="str">
        <f t="shared" si="33"/>
        <v>IoU 50</v>
      </c>
      <c r="AG122" s="11">
        <v>8.4442619379936246E-2</v>
      </c>
      <c r="AH122" s="11">
        <v>0.66667397652733495</v>
      </c>
      <c r="AI122" s="11">
        <v>0.27831757249586409</v>
      </c>
      <c r="AK122" s="11">
        <f t="shared" si="34"/>
        <v>0.3755582979536356</v>
      </c>
      <c r="AL122" s="35" t="str">
        <f t="shared" si="26"/>
        <v>IoU 50</v>
      </c>
      <c r="AM122" s="35" t="str">
        <f t="shared" si="35"/>
        <v>IoU 50</v>
      </c>
    </row>
    <row r="123" spans="1:39" x14ac:dyDescent="0.2">
      <c r="A123" s="11">
        <v>0.34390090942193985</v>
      </c>
      <c r="C123" s="11">
        <v>0.45325537014183614</v>
      </c>
      <c r="E123" s="11" t="str">
        <f t="shared" si="24"/>
        <v>IoU 50</v>
      </c>
      <c r="G123" s="35" t="str">
        <f t="shared" si="37"/>
        <v>IoU 50</v>
      </c>
      <c r="I123" s="11">
        <v>0.41691942871140752</v>
      </c>
      <c r="J123" s="11">
        <v>0.18808962264150944</v>
      </c>
      <c r="M123" s="11">
        <f t="shared" si="27"/>
        <v>0.30250452567645847</v>
      </c>
      <c r="N123" s="35" t="str">
        <f t="shared" si="39"/>
        <v>IoU 50</v>
      </c>
      <c r="O123" s="35"/>
      <c r="Q123" s="11">
        <v>0.54526647504152848</v>
      </c>
      <c r="R123" s="11">
        <v>0.64005606742349919</v>
      </c>
      <c r="S123" s="11">
        <v>0.40339219900362533</v>
      </c>
      <c r="U123" s="11">
        <f t="shared" si="29"/>
        <v>0.59266127123251389</v>
      </c>
      <c r="V123" s="35" t="str">
        <f t="shared" si="25"/>
        <v>IoU 75</v>
      </c>
      <c r="W123" s="35" t="str">
        <f t="shared" si="30"/>
        <v>IoU 50</v>
      </c>
      <c r="Y123" s="11">
        <v>0.23741676163777328</v>
      </c>
      <c r="Z123" s="11">
        <v>0.19951495893831681</v>
      </c>
      <c r="AA123" s="11">
        <v>0.45311666682776042</v>
      </c>
      <c r="AC123" s="11">
        <f t="shared" si="31"/>
        <v>0.21846586028804504</v>
      </c>
      <c r="AD123" s="35" t="str">
        <f t="shared" si="38"/>
        <v>IoU 25</v>
      </c>
      <c r="AE123" s="35" t="str">
        <f t="shared" si="33"/>
        <v>IoU 50</v>
      </c>
      <c r="AG123" s="11">
        <v>0.29484522331998858</v>
      </c>
      <c r="AH123" s="11">
        <v>0.14011179951546923</v>
      </c>
      <c r="AI123" s="11">
        <v>0.18708268843909914</v>
      </c>
      <c r="AK123" s="11">
        <f t="shared" si="34"/>
        <v>0.21747851141772889</v>
      </c>
      <c r="AL123" s="35" t="str">
        <f t="shared" si="26"/>
        <v>IoU 25</v>
      </c>
      <c r="AM123" s="35" t="str">
        <f t="shared" si="35"/>
        <v>IoU 25</v>
      </c>
    </row>
    <row r="124" spans="1:39" x14ac:dyDescent="0.2">
      <c r="C124" s="11">
        <v>0.32470383213693854</v>
      </c>
      <c r="E124" s="11" t="str">
        <f t="shared" si="24"/>
        <v>IoU 25</v>
      </c>
      <c r="G124" s="35" t="str">
        <f t="shared" si="37"/>
        <v>IoU 50</v>
      </c>
      <c r="J124" s="11">
        <v>0.61193297607747466</v>
      </c>
      <c r="M124" s="11">
        <v>0.61193297607747466</v>
      </c>
      <c r="N124" s="35" t="str">
        <f t="shared" si="39"/>
        <v>IoU 75</v>
      </c>
      <c r="O124" s="35"/>
      <c r="Q124" s="11">
        <v>0.38316578803318158</v>
      </c>
      <c r="R124" s="11">
        <v>0.1519719182325005</v>
      </c>
      <c r="S124" s="11">
        <v>0.42870357996245551</v>
      </c>
      <c r="U124" s="11">
        <f t="shared" si="29"/>
        <v>0.26756885313284107</v>
      </c>
      <c r="V124" s="35" t="str">
        <f t="shared" si="25"/>
        <v>IoU 50</v>
      </c>
      <c r="W124" s="35" t="str">
        <f t="shared" si="30"/>
        <v>IoU 50</v>
      </c>
      <c r="Y124" s="11">
        <v>0.51039914317691326</v>
      </c>
      <c r="Z124" s="11">
        <v>0.42424447935723697</v>
      </c>
      <c r="AA124" s="11">
        <v>0.58638997534093995</v>
      </c>
      <c r="AC124" s="11">
        <f t="shared" si="31"/>
        <v>0.46732181126707512</v>
      </c>
      <c r="AD124" s="35" t="str">
        <f t="shared" si="38"/>
        <v>IoU 50</v>
      </c>
      <c r="AE124" s="35" t="str">
        <f t="shared" si="33"/>
        <v>IoU 75</v>
      </c>
      <c r="AG124" s="11">
        <v>0.3608911581284312</v>
      </c>
      <c r="AH124" s="11">
        <v>0.44498389396953086</v>
      </c>
      <c r="AI124" s="11">
        <v>0.27675697156476153</v>
      </c>
      <c r="AK124" s="11">
        <f t="shared" si="34"/>
        <v>0.40293752604898103</v>
      </c>
      <c r="AL124" s="35" t="str">
        <f t="shared" si="26"/>
        <v>IoU 50</v>
      </c>
      <c r="AM124" s="35" t="str">
        <f t="shared" si="35"/>
        <v>IoU 50</v>
      </c>
    </row>
    <row r="125" spans="1:39" x14ac:dyDescent="0.2">
      <c r="A125" s="11">
        <v>0</v>
      </c>
      <c r="C125" s="11">
        <v>0.59373640140524031</v>
      </c>
      <c r="E125" s="11" t="str">
        <f t="shared" si="24"/>
        <v>IoU 25</v>
      </c>
      <c r="G125" s="35" t="str">
        <f t="shared" si="37"/>
        <v>IoU 75</v>
      </c>
      <c r="I125" s="11">
        <v>0.4418575419362798</v>
      </c>
      <c r="J125" s="11">
        <v>0.39824183881866448</v>
      </c>
      <c r="K125" s="11">
        <v>0.45659790398990174</v>
      </c>
      <c r="M125" s="11">
        <f t="shared" si="27"/>
        <v>0.42004969037747214</v>
      </c>
      <c r="N125" s="35" t="str">
        <f t="shared" si="39"/>
        <v>IoU 50</v>
      </c>
      <c r="O125" s="35" t="str">
        <f t="shared" si="28"/>
        <v>IoU 50</v>
      </c>
      <c r="Q125" s="11">
        <v>0.55591846094147401</v>
      </c>
      <c r="R125" s="11">
        <v>0.79969958509090988</v>
      </c>
      <c r="S125" s="11">
        <v>0.45713947150018241</v>
      </c>
      <c r="U125" s="11">
        <f t="shared" si="29"/>
        <v>0.67780902301619195</v>
      </c>
      <c r="V125" s="35" t="str">
        <f t="shared" si="25"/>
        <v>IoU 75</v>
      </c>
      <c r="W125" s="35" t="str">
        <f t="shared" si="30"/>
        <v>IoU 50</v>
      </c>
      <c r="Z125" s="11">
        <v>0.30945059918058843</v>
      </c>
      <c r="AA125" s="11">
        <v>0.32511375677303389</v>
      </c>
      <c r="AC125" s="11">
        <v>0.30945059918058843</v>
      </c>
      <c r="AD125" s="35" t="str">
        <f t="shared" si="38"/>
        <v>IoU 50</v>
      </c>
      <c r="AE125" s="35" t="str">
        <f t="shared" si="33"/>
        <v>IoU 50</v>
      </c>
      <c r="AG125" s="11">
        <v>0.16997065769698705</v>
      </c>
      <c r="AH125" s="11">
        <v>0</v>
      </c>
      <c r="AI125" s="11">
        <v>0.25405325344508961</v>
      </c>
      <c r="AK125" s="11">
        <f t="shared" si="34"/>
        <v>8.4985328848493524E-2</v>
      </c>
      <c r="AL125" s="35" t="str">
        <f t="shared" si="26"/>
        <v>IoU 25</v>
      </c>
      <c r="AM125" s="35" t="str">
        <f t="shared" si="35"/>
        <v>IoU 50</v>
      </c>
    </row>
    <row r="126" spans="1:39" x14ac:dyDescent="0.2">
      <c r="A126" s="11">
        <v>0.3864971699204417</v>
      </c>
      <c r="C126" s="11">
        <v>0.31382766113892202</v>
      </c>
      <c r="E126" s="11" t="str">
        <f t="shared" si="24"/>
        <v>IoU 50</v>
      </c>
      <c r="G126" s="35" t="str">
        <f t="shared" si="37"/>
        <v>IoU 50</v>
      </c>
      <c r="I126" s="11">
        <v>0.4691022930486356</v>
      </c>
      <c r="J126" s="11">
        <v>0.23305884114388381</v>
      </c>
      <c r="K126" s="11">
        <v>0.26840850728646659</v>
      </c>
      <c r="M126" s="11">
        <f t="shared" si="27"/>
        <v>0.35108056709625968</v>
      </c>
      <c r="N126" s="35" t="str">
        <f t="shared" si="39"/>
        <v>IoU 50</v>
      </c>
      <c r="O126" s="35" t="str">
        <f t="shared" si="28"/>
        <v>IoU 50</v>
      </c>
      <c r="Q126" s="11">
        <v>0.36223049927478912</v>
      </c>
      <c r="R126" s="11">
        <v>0.35984232750864997</v>
      </c>
      <c r="S126" s="11">
        <v>0.56097591462842167</v>
      </c>
      <c r="U126" s="11">
        <f t="shared" si="29"/>
        <v>0.36103641339171955</v>
      </c>
      <c r="V126" s="35" t="str">
        <f t="shared" si="25"/>
        <v>IoU 50</v>
      </c>
      <c r="W126" s="35" t="str">
        <f t="shared" si="30"/>
        <v>IoU 75</v>
      </c>
      <c r="Y126" s="11">
        <v>0.22432087799664319</v>
      </c>
      <c r="Z126" s="11">
        <v>0.78398613586784305</v>
      </c>
      <c r="AA126" s="11">
        <v>0.51148313273996371</v>
      </c>
      <c r="AC126" s="11">
        <f t="shared" si="31"/>
        <v>0.50415350693224315</v>
      </c>
      <c r="AD126" s="35" t="str">
        <f t="shared" si="38"/>
        <v>IoU 75</v>
      </c>
      <c r="AE126" s="35" t="str">
        <f t="shared" si="33"/>
        <v>IoU 75</v>
      </c>
      <c r="AG126" s="11">
        <v>0.35710780415118748</v>
      </c>
      <c r="AH126" s="11">
        <v>0.58936507825538886</v>
      </c>
      <c r="AI126" s="11">
        <v>0.36315318017195231</v>
      </c>
      <c r="AK126" s="11">
        <f t="shared" si="34"/>
        <v>0.47323644120328817</v>
      </c>
      <c r="AL126" s="35" t="str">
        <f t="shared" si="26"/>
        <v>IoU 50</v>
      </c>
      <c r="AM126" s="35" t="str">
        <f t="shared" si="35"/>
        <v>IoU 50</v>
      </c>
    </row>
    <row r="127" spans="1:39" x14ac:dyDescent="0.2">
      <c r="A127" s="11">
        <v>0.24828534044464279</v>
      </c>
      <c r="C127" s="11">
        <v>0.53925386460730895</v>
      </c>
      <c r="E127" s="11" t="str">
        <f t="shared" si="24"/>
        <v>IoU 25</v>
      </c>
      <c r="G127" s="35" t="str">
        <f t="shared" si="37"/>
        <v>IoU 75</v>
      </c>
      <c r="I127" s="11">
        <v>0.36642393100109</v>
      </c>
      <c r="J127" s="11">
        <v>0.54387471389773911</v>
      </c>
      <c r="K127" s="11">
        <v>0.37226611485160477</v>
      </c>
      <c r="M127" s="11">
        <f t="shared" si="27"/>
        <v>0.45514932244941453</v>
      </c>
      <c r="N127" s="35" t="str">
        <f t="shared" si="39"/>
        <v>IoU 50</v>
      </c>
      <c r="O127" s="35" t="str">
        <f t="shared" si="28"/>
        <v>IoU 50</v>
      </c>
      <c r="Q127" s="11">
        <v>0.21442966058888915</v>
      </c>
      <c r="R127" s="11">
        <v>0.73437665528971596</v>
      </c>
      <c r="S127" s="11">
        <v>0.30813341996625687</v>
      </c>
      <c r="U127" s="11">
        <f t="shared" si="29"/>
        <v>0.47440315793930254</v>
      </c>
      <c r="V127" s="35" t="str">
        <f t="shared" si="25"/>
        <v>IoU 50</v>
      </c>
      <c r="W127" s="35" t="str">
        <f t="shared" si="30"/>
        <v>IoU 50</v>
      </c>
      <c r="Y127" s="11">
        <v>0.38079001536886037</v>
      </c>
      <c r="Z127" s="11">
        <v>0.78244596682345047</v>
      </c>
      <c r="AA127" s="11">
        <v>0.49440867071272276</v>
      </c>
      <c r="AC127" s="11">
        <f t="shared" si="31"/>
        <v>0.58161799109615542</v>
      </c>
      <c r="AD127" s="35" t="str">
        <f t="shared" si="38"/>
        <v>IoU 75</v>
      </c>
      <c r="AE127" s="35" t="str">
        <f t="shared" si="33"/>
        <v>IoU 50</v>
      </c>
      <c r="AG127" s="11">
        <v>0.20269619873088493</v>
      </c>
      <c r="AH127" s="11">
        <v>0.60591137153972285</v>
      </c>
      <c r="AI127" s="11">
        <v>0.43579891349640298</v>
      </c>
      <c r="AK127" s="11">
        <f t="shared" si="34"/>
        <v>0.40430378513530391</v>
      </c>
      <c r="AL127" s="35" t="str">
        <f t="shared" si="26"/>
        <v>IoU 50</v>
      </c>
      <c r="AM127" s="35" t="str">
        <f t="shared" si="35"/>
        <v>IoU 50</v>
      </c>
    </row>
    <row r="128" spans="1:39" x14ac:dyDescent="0.2">
      <c r="C128" s="11">
        <v>0.40263726728404642</v>
      </c>
      <c r="E128" s="11" t="str">
        <f t="shared" si="24"/>
        <v>IoU 25</v>
      </c>
      <c r="G128" s="35" t="str">
        <f t="shared" si="37"/>
        <v>IoU 50</v>
      </c>
      <c r="I128" s="11">
        <v>0.20714585241172323</v>
      </c>
      <c r="K128" s="11">
        <v>0.41946705418693403</v>
      </c>
      <c r="M128" s="11">
        <v>0.20714585241172323</v>
      </c>
      <c r="N128" s="35" t="str">
        <f t="shared" si="39"/>
        <v>IoU 25</v>
      </c>
      <c r="O128" s="35" t="str">
        <f t="shared" si="28"/>
        <v>IoU 50</v>
      </c>
      <c r="Q128" s="11">
        <v>0.57838639688754745</v>
      </c>
      <c r="R128" s="11">
        <v>0.39914923059340596</v>
      </c>
      <c r="S128" s="11">
        <v>0.40755766175399577</v>
      </c>
      <c r="U128" s="11">
        <f t="shared" si="29"/>
        <v>0.48876781374047673</v>
      </c>
      <c r="V128" s="35" t="str">
        <f t="shared" si="25"/>
        <v>IoU 50</v>
      </c>
      <c r="W128" s="35" t="str">
        <f t="shared" si="30"/>
        <v>IoU 50</v>
      </c>
      <c r="AA128" s="11">
        <v>0.38270130386294343</v>
      </c>
      <c r="AD128" s="35"/>
      <c r="AE128" s="35" t="str">
        <f t="shared" si="33"/>
        <v>IoU 50</v>
      </c>
      <c r="AG128" s="11">
        <v>0.24760444122521152</v>
      </c>
      <c r="AI128" s="11">
        <v>0.22238655137855962</v>
      </c>
      <c r="AK128" s="11">
        <v>0.24760444122521152</v>
      </c>
      <c r="AL128" s="35" t="str">
        <f t="shared" si="26"/>
        <v>IoU 25</v>
      </c>
      <c r="AM128" s="35" t="str">
        <f t="shared" si="35"/>
        <v>IoU 25</v>
      </c>
    </row>
    <row r="129" spans="1:39" x14ac:dyDescent="0.2">
      <c r="C129" s="11">
        <v>0.27066603030665959</v>
      </c>
      <c r="E129" s="11" t="str">
        <f t="shared" si="24"/>
        <v>IoU 25</v>
      </c>
      <c r="G129" s="35" t="str">
        <f t="shared" si="37"/>
        <v>IoU 50</v>
      </c>
      <c r="I129" s="11">
        <v>9.1418084848992453E-3</v>
      </c>
      <c r="J129" s="11">
        <v>0.64843281953090159</v>
      </c>
      <c r="K129" s="11">
        <v>0.59272321796241823</v>
      </c>
      <c r="M129" s="11">
        <f t="shared" si="27"/>
        <v>0.3287873140079004</v>
      </c>
      <c r="N129" s="35" t="str">
        <f t="shared" si="39"/>
        <v>IoU 50</v>
      </c>
      <c r="O129" s="35" t="str">
        <f t="shared" si="28"/>
        <v>IoU 75</v>
      </c>
      <c r="Q129" s="11">
        <v>0.21784185132304579</v>
      </c>
      <c r="R129" s="11">
        <v>0.2123972919959074</v>
      </c>
      <c r="S129" s="11">
        <v>0.51418896237768719</v>
      </c>
      <c r="U129" s="11">
        <f t="shared" si="29"/>
        <v>0.21511957165947659</v>
      </c>
      <c r="V129" s="35" t="str">
        <f t="shared" si="25"/>
        <v>IoU 25</v>
      </c>
      <c r="W129" s="35" t="str">
        <f t="shared" si="30"/>
        <v>IoU 75</v>
      </c>
      <c r="Y129" s="11">
        <v>0.15534956173487385</v>
      </c>
      <c r="Z129" s="11">
        <v>0.44318743620391665</v>
      </c>
      <c r="AA129" s="11">
        <v>0.33536170340816684</v>
      </c>
      <c r="AC129" s="11">
        <f t="shared" si="31"/>
        <v>0.29926849896939522</v>
      </c>
      <c r="AD129" s="35" t="str">
        <f t="shared" ref="AD129:AD134" si="40">VLOOKUP(AC129,IoU_Thresholds,2,TRUE)</f>
        <v>IoU 50</v>
      </c>
      <c r="AE129" s="35" t="str">
        <f t="shared" si="33"/>
        <v>IoU 50</v>
      </c>
      <c r="AG129" s="11">
        <v>0.44360368827045049</v>
      </c>
      <c r="AH129" s="11">
        <v>0.65628703595666327</v>
      </c>
      <c r="AI129" s="11">
        <v>0.31666894147148084</v>
      </c>
      <c r="AK129" s="11">
        <f t="shared" si="34"/>
        <v>0.54994536211355682</v>
      </c>
      <c r="AL129" s="35" t="str">
        <f t="shared" si="26"/>
        <v>IoU 75</v>
      </c>
      <c r="AM129" s="35" t="str">
        <f t="shared" si="35"/>
        <v>IoU 50</v>
      </c>
    </row>
    <row r="130" spans="1:39" x14ac:dyDescent="0.2">
      <c r="A130" s="11">
        <v>0</v>
      </c>
      <c r="C130" s="11">
        <v>0.30810180992935188</v>
      </c>
      <c r="E130" s="11" t="str">
        <f t="shared" si="24"/>
        <v>IoU 25</v>
      </c>
      <c r="G130" s="35" t="str">
        <f t="shared" si="37"/>
        <v>IoU 50</v>
      </c>
      <c r="I130" s="11">
        <v>0.79712858153857069</v>
      </c>
      <c r="K130" s="11">
        <v>0.3305777842320668</v>
      </c>
      <c r="M130" s="11">
        <v>0.79712858153857069</v>
      </c>
      <c r="N130" s="35" t="str">
        <f t="shared" si="39"/>
        <v>IoU 100</v>
      </c>
      <c r="O130" s="35" t="str">
        <f t="shared" si="28"/>
        <v>IoU 50</v>
      </c>
      <c r="Q130" s="11">
        <v>0.40673810737831895</v>
      </c>
      <c r="R130" s="11">
        <v>0.47566768394157255</v>
      </c>
      <c r="S130" s="11">
        <v>0.52002831851254949</v>
      </c>
      <c r="U130" s="11">
        <f t="shared" si="29"/>
        <v>0.44120289565994575</v>
      </c>
      <c r="V130" s="35" t="str">
        <f t="shared" si="25"/>
        <v>IoU 50</v>
      </c>
      <c r="W130" s="35" t="str">
        <f t="shared" si="30"/>
        <v>IoU 75</v>
      </c>
      <c r="Y130" s="11">
        <v>0.29607662288751313</v>
      </c>
      <c r="Z130" s="11">
        <v>0.55040951510415992</v>
      </c>
      <c r="AA130" s="11">
        <v>0.44611852351969816</v>
      </c>
      <c r="AC130" s="11">
        <f t="shared" si="31"/>
        <v>0.42324306899583652</v>
      </c>
      <c r="AD130" s="35" t="str">
        <f t="shared" si="40"/>
        <v>IoU 50</v>
      </c>
      <c r="AE130" s="35" t="str">
        <f t="shared" si="33"/>
        <v>IoU 50</v>
      </c>
      <c r="AG130" s="11">
        <v>0.21213829130703393</v>
      </c>
      <c r="AH130" s="11">
        <v>0.23328468984937081</v>
      </c>
      <c r="AI130" s="11">
        <v>0.38656740252790084</v>
      </c>
      <c r="AK130" s="11">
        <f t="shared" si="34"/>
        <v>0.22271149057820239</v>
      </c>
      <c r="AL130" s="35" t="str">
        <f t="shared" si="26"/>
        <v>IoU 25</v>
      </c>
      <c r="AM130" s="35" t="str">
        <f t="shared" si="35"/>
        <v>IoU 50</v>
      </c>
    </row>
    <row r="131" spans="1:39" x14ac:dyDescent="0.2">
      <c r="A131" s="11">
        <v>0.37665700430727417</v>
      </c>
      <c r="C131" s="11">
        <v>0.12401906226155426</v>
      </c>
      <c r="E131" s="11" t="str">
        <f t="shared" si="24"/>
        <v>IoU 50</v>
      </c>
      <c r="G131" s="35" t="str">
        <f t="shared" si="37"/>
        <v>IoU 25</v>
      </c>
      <c r="I131" s="11">
        <v>0.44930828389354716</v>
      </c>
      <c r="J131" s="11">
        <v>0.44743552405472625</v>
      </c>
      <c r="K131" s="11">
        <v>0.38109343990352618</v>
      </c>
      <c r="M131" s="11">
        <f t="shared" si="27"/>
        <v>0.44837190397413673</v>
      </c>
      <c r="N131" s="35" t="str">
        <f t="shared" si="39"/>
        <v>IoU 50</v>
      </c>
      <c r="O131" s="35" t="str">
        <f t="shared" si="28"/>
        <v>IoU 50</v>
      </c>
      <c r="Q131" s="11">
        <v>0.37602289042256121</v>
      </c>
      <c r="R131" s="11">
        <v>0.42094811300879098</v>
      </c>
      <c r="S131" s="11">
        <v>0.67748157780119567</v>
      </c>
      <c r="U131" s="11">
        <f t="shared" si="29"/>
        <v>0.39848550171567609</v>
      </c>
      <c r="V131" s="35" t="str">
        <f t="shared" si="25"/>
        <v>IoU 50</v>
      </c>
      <c r="W131" s="35" t="str">
        <f t="shared" si="30"/>
        <v>IoU 75</v>
      </c>
      <c r="Y131" s="11">
        <v>0.12690685706984733</v>
      </c>
      <c r="AA131" s="11">
        <v>0.39641866617176214</v>
      </c>
      <c r="AC131" s="11">
        <v>0.12690685706984733</v>
      </c>
      <c r="AD131" s="35" t="str">
        <f t="shared" si="40"/>
        <v>IoU 25</v>
      </c>
      <c r="AE131" s="35" t="str">
        <f t="shared" si="33"/>
        <v>IoU 50</v>
      </c>
      <c r="AG131" s="11">
        <v>6.4223500927585442E-2</v>
      </c>
      <c r="AH131" s="11">
        <v>0.15830794557522967</v>
      </c>
      <c r="AI131" s="11">
        <v>0.2274257777669475</v>
      </c>
      <c r="AK131" s="11">
        <f t="shared" si="34"/>
        <v>0.11126572325140756</v>
      </c>
      <c r="AL131" s="35" t="str">
        <f t="shared" si="26"/>
        <v>IoU 25</v>
      </c>
      <c r="AM131" s="35" t="str">
        <f t="shared" si="35"/>
        <v>IoU 25</v>
      </c>
    </row>
    <row r="132" spans="1:39" x14ac:dyDescent="0.2">
      <c r="C132" s="11">
        <v>9.2752618921452742E-2</v>
      </c>
      <c r="E132" s="11" t="str">
        <f t="shared" ref="E132:E195" si="41">VLOOKUP(A132,IoU_Thresholds,2,TRUE)</f>
        <v>IoU 25</v>
      </c>
      <c r="G132" s="35" t="str">
        <f t="shared" si="37"/>
        <v>IoU 25</v>
      </c>
      <c r="I132" s="11">
        <v>0.22390975802241148</v>
      </c>
      <c r="J132" s="11">
        <v>0.55149018119820725</v>
      </c>
      <c r="K132" s="11">
        <v>0.28194816699410136</v>
      </c>
      <c r="M132" s="11">
        <f t="shared" si="27"/>
        <v>0.38769996961030939</v>
      </c>
      <c r="N132" s="35" t="str">
        <f t="shared" si="39"/>
        <v>IoU 50</v>
      </c>
      <c r="O132" s="35" t="str">
        <f t="shared" si="28"/>
        <v>IoU 50</v>
      </c>
      <c r="Q132" s="11">
        <v>0.35681208421172095</v>
      </c>
      <c r="R132" s="11">
        <v>0.29290547283462565</v>
      </c>
      <c r="S132" s="11">
        <v>0.32481154829086256</v>
      </c>
      <c r="U132" s="11">
        <f t="shared" si="29"/>
        <v>0.3248587785231733</v>
      </c>
      <c r="V132" s="35" t="str">
        <f t="shared" ref="V132:V195" si="42">VLOOKUP(U132,IoU_Thresholds,2,TRUE)</f>
        <v>IoU 50</v>
      </c>
      <c r="W132" s="35" t="str">
        <f t="shared" si="30"/>
        <v>IoU 50</v>
      </c>
      <c r="Y132" s="11">
        <v>0.12705002730909468</v>
      </c>
      <c r="Z132" s="11">
        <v>0.77867692663771138</v>
      </c>
      <c r="AA132" s="11">
        <v>0.44025891482020468</v>
      </c>
      <c r="AC132" s="11">
        <f t="shared" si="31"/>
        <v>0.45286347697340301</v>
      </c>
      <c r="AD132" s="35" t="str">
        <f t="shared" si="40"/>
        <v>IoU 50</v>
      </c>
      <c r="AE132" s="35" t="str">
        <f t="shared" si="33"/>
        <v>IoU 50</v>
      </c>
      <c r="AG132" s="11">
        <v>2.9348312668674346E-2</v>
      </c>
      <c r="AH132" s="11">
        <v>0.42194807974861337</v>
      </c>
      <c r="AI132" s="11">
        <v>0.34042733703811978</v>
      </c>
      <c r="AK132" s="11">
        <f t="shared" si="34"/>
        <v>0.22564819620864385</v>
      </c>
      <c r="AL132" s="35" t="str">
        <f t="shared" ref="AL132:AL195" si="43">VLOOKUP(AK132,IoU_Thresholds,2,TRUE)</f>
        <v>IoU 25</v>
      </c>
      <c r="AM132" s="35" t="str">
        <f t="shared" si="35"/>
        <v>IoU 50</v>
      </c>
    </row>
    <row r="133" spans="1:39" x14ac:dyDescent="0.2">
      <c r="A133" s="11">
        <v>0.35701878673056353</v>
      </c>
      <c r="C133" s="11">
        <v>0.48308096107824849</v>
      </c>
      <c r="E133" s="11" t="str">
        <f t="shared" si="41"/>
        <v>IoU 50</v>
      </c>
      <c r="G133" s="35" t="str">
        <f t="shared" si="37"/>
        <v>IoU 50</v>
      </c>
      <c r="I133" s="11">
        <v>0.20940390544707091</v>
      </c>
      <c r="J133" s="11">
        <v>0.19699403958890332</v>
      </c>
      <c r="K133" s="11">
        <v>0.18108093254656948</v>
      </c>
      <c r="M133" s="11">
        <f t="shared" ref="M133:M196" si="44">(I133+J133)/2</f>
        <v>0.20319897251798713</v>
      </c>
      <c r="N133" s="35" t="str">
        <f t="shared" si="39"/>
        <v>IoU 25</v>
      </c>
      <c r="O133" s="35" t="str">
        <f t="shared" ref="O133:O196" si="45">VLOOKUP(K133,IoU_Thresholds,2,TRUE)</f>
        <v>IoU 25</v>
      </c>
      <c r="Q133" s="11">
        <v>0.53272772404900648</v>
      </c>
      <c r="R133" s="11">
        <v>0.17095258692364942</v>
      </c>
      <c r="S133" s="11">
        <v>0.51628321588535864</v>
      </c>
      <c r="U133" s="11">
        <f t="shared" ref="U133:U196" si="46">(Q133+R133)/2</f>
        <v>0.35184015548632797</v>
      </c>
      <c r="V133" s="35" t="str">
        <f t="shared" si="42"/>
        <v>IoU 50</v>
      </c>
      <c r="W133" s="35" t="str">
        <f t="shared" ref="W133:W196" si="47">VLOOKUP(S133,IoU_Thresholds,2,TRUE)</f>
        <v>IoU 75</v>
      </c>
      <c r="Y133" s="11">
        <v>0.31632590744960454</v>
      </c>
      <c r="Z133" s="11">
        <v>0.45826930185212289</v>
      </c>
      <c r="AA133" s="11">
        <v>0.32350893837046513</v>
      </c>
      <c r="AC133" s="11">
        <f t="shared" ref="AC133:AC196" si="48">(Y133+Z133)/2</f>
        <v>0.38729760465086371</v>
      </c>
      <c r="AD133" s="35" t="str">
        <f t="shared" si="40"/>
        <v>IoU 50</v>
      </c>
      <c r="AE133" s="35" t="str">
        <f t="shared" ref="AE133:AE196" si="49">VLOOKUP(AA133,IoU_Thresholds,2,TRUE)</f>
        <v>IoU 50</v>
      </c>
      <c r="AG133" s="11">
        <v>0.38126922001677382</v>
      </c>
      <c r="AH133" s="11">
        <v>0.18455832001826067</v>
      </c>
      <c r="AI133" s="11">
        <v>0.24139378149760354</v>
      </c>
      <c r="AK133" s="11">
        <f t="shared" ref="AK133:AK196" si="50">(AG133+AH133)/2</f>
        <v>0.28291377001751727</v>
      </c>
      <c r="AL133" s="35" t="str">
        <f t="shared" si="43"/>
        <v>IoU 50</v>
      </c>
      <c r="AM133" s="35" t="str">
        <f t="shared" ref="AM133:AM196" si="51">VLOOKUP(AI133,IoU_Thresholds,2,TRUE)</f>
        <v>IoU 25</v>
      </c>
    </row>
    <row r="134" spans="1:39" x14ac:dyDescent="0.2">
      <c r="A134" s="11">
        <v>0.57057228039255659</v>
      </c>
      <c r="C134" s="11">
        <v>0.46569179415661011</v>
      </c>
      <c r="E134" s="11" t="str">
        <f t="shared" si="41"/>
        <v>IoU 75</v>
      </c>
      <c r="G134" s="35" t="str">
        <f t="shared" si="37"/>
        <v>IoU 50</v>
      </c>
      <c r="I134" s="11">
        <v>0.22957915819692745</v>
      </c>
      <c r="J134" s="11">
        <v>0</v>
      </c>
      <c r="K134" s="11">
        <v>0.12305794720925819</v>
      </c>
      <c r="M134" s="11">
        <f t="shared" si="44"/>
        <v>0.11478957909846373</v>
      </c>
      <c r="N134" s="35" t="str">
        <f t="shared" si="39"/>
        <v>IoU 25</v>
      </c>
      <c r="O134" s="35" t="str">
        <f t="shared" si="45"/>
        <v>IoU 25</v>
      </c>
      <c r="Q134" s="11">
        <v>0.17419209833065694</v>
      </c>
      <c r="R134" s="11">
        <v>0.40754596731946513</v>
      </c>
      <c r="S134" s="11">
        <v>0.37440090529237408</v>
      </c>
      <c r="U134" s="11">
        <f t="shared" si="46"/>
        <v>0.29086903282506105</v>
      </c>
      <c r="V134" s="35" t="str">
        <f t="shared" si="42"/>
        <v>IoU 50</v>
      </c>
      <c r="W134" s="35" t="str">
        <f t="shared" si="47"/>
        <v>IoU 50</v>
      </c>
      <c r="Y134" s="11">
        <v>0.23084284012651055</v>
      </c>
      <c r="Z134" s="11">
        <v>0.27829468293000281</v>
      </c>
      <c r="AA134" s="11">
        <v>0.56623857349389894</v>
      </c>
      <c r="AC134" s="11">
        <f t="shared" si="48"/>
        <v>0.25456876152825669</v>
      </c>
      <c r="AD134" s="35" t="str">
        <f t="shared" si="40"/>
        <v>IoU 50</v>
      </c>
      <c r="AE134" s="35" t="str">
        <f t="shared" si="49"/>
        <v>IoU 75</v>
      </c>
      <c r="AG134" s="11">
        <v>0.10337981163000118</v>
      </c>
      <c r="AH134" s="11">
        <v>0.19736414104351183</v>
      </c>
      <c r="AI134" s="11">
        <v>0.24157361663315544</v>
      </c>
      <c r="AK134" s="11">
        <f t="shared" si="50"/>
        <v>0.1503719763367565</v>
      </c>
      <c r="AL134" s="35" t="str">
        <f t="shared" si="43"/>
        <v>IoU 25</v>
      </c>
      <c r="AM134" s="35" t="str">
        <f t="shared" si="51"/>
        <v>IoU 25</v>
      </c>
    </row>
    <row r="135" spans="1:39" x14ac:dyDescent="0.2">
      <c r="C135" s="11">
        <v>0.38387302294582781</v>
      </c>
      <c r="E135" s="11" t="str">
        <f t="shared" si="41"/>
        <v>IoU 25</v>
      </c>
      <c r="G135" s="35" t="str">
        <f t="shared" si="37"/>
        <v>IoU 50</v>
      </c>
      <c r="I135" s="11">
        <v>0</v>
      </c>
      <c r="K135" s="11">
        <v>0.53800156557329881</v>
      </c>
      <c r="M135" s="11">
        <v>0</v>
      </c>
      <c r="N135" s="35" t="str">
        <f t="shared" si="39"/>
        <v>IoU 25</v>
      </c>
      <c r="O135" s="35" t="str">
        <f t="shared" si="45"/>
        <v>IoU 75</v>
      </c>
      <c r="Q135" s="11">
        <v>0.25821767222200281</v>
      </c>
      <c r="R135" s="11">
        <v>0.2823176800404455</v>
      </c>
      <c r="S135" s="11">
        <v>0.2334752559681022</v>
      </c>
      <c r="U135" s="11">
        <f t="shared" si="46"/>
        <v>0.27026767613122415</v>
      </c>
      <c r="V135" s="35" t="str">
        <f t="shared" si="42"/>
        <v>IoU 50</v>
      </c>
      <c r="W135" s="35" t="str">
        <f t="shared" si="47"/>
        <v>IoU 25</v>
      </c>
      <c r="AA135" s="11">
        <v>0.44252530163139242</v>
      </c>
      <c r="AD135" s="35"/>
      <c r="AE135" s="35" t="str">
        <f t="shared" si="49"/>
        <v>IoU 50</v>
      </c>
      <c r="AG135" s="11">
        <v>1.363064448483154E-3</v>
      </c>
      <c r="AI135" s="11">
        <v>0.27352865625181</v>
      </c>
      <c r="AK135" s="11">
        <v>1.363064448483154E-3</v>
      </c>
      <c r="AL135" s="35" t="str">
        <f t="shared" si="43"/>
        <v>IoU 25</v>
      </c>
      <c r="AM135" s="35" t="str">
        <f t="shared" si="51"/>
        <v>IoU 50</v>
      </c>
    </row>
    <row r="136" spans="1:39" x14ac:dyDescent="0.2">
      <c r="A136" s="11">
        <v>0</v>
      </c>
      <c r="C136" s="11">
        <v>0.378957614328576</v>
      </c>
      <c r="E136" s="11" t="str">
        <f t="shared" si="41"/>
        <v>IoU 25</v>
      </c>
      <c r="G136" s="35" t="str">
        <f t="shared" si="37"/>
        <v>IoU 50</v>
      </c>
      <c r="I136" s="11">
        <v>0.19499515464750061</v>
      </c>
      <c r="J136" s="11">
        <v>0.23222632837363133</v>
      </c>
      <c r="K136" s="11">
        <v>0.47535287507608159</v>
      </c>
      <c r="M136" s="11">
        <f t="shared" si="44"/>
        <v>0.21361074151056597</v>
      </c>
      <c r="N136" s="35" t="str">
        <f t="shared" si="39"/>
        <v>IoU 25</v>
      </c>
      <c r="O136" s="35" t="str">
        <f t="shared" si="45"/>
        <v>IoU 50</v>
      </c>
      <c r="Q136" s="11">
        <v>0.37725351512377692</v>
      </c>
      <c r="R136" s="11">
        <v>0.82203768652305798</v>
      </c>
      <c r="S136" s="11">
        <v>0.43258687407332369</v>
      </c>
      <c r="U136" s="11">
        <f t="shared" si="46"/>
        <v>0.59964560082341745</v>
      </c>
      <c r="V136" s="35" t="str">
        <f t="shared" si="42"/>
        <v>IoU 75</v>
      </c>
      <c r="W136" s="35" t="str">
        <f t="shared" si="47"/>
        <v>IoU 50</v>
      </c>
      <c r="Y136" s="11">
        <v>7.9638214249722866E-2</v>
      </c>
      <c r="Z136" s="11">
        <v>0.24116415128599725</v>
      </c>
      <c r="AA136" s="11">
        <v>0.53073203917076883</v>
      </c>
      <c r="AC136" s="11">
        <f t="shared" si="48"/>
        <v>0.16040118276786006</v>
      </c>
      <c r="AD136" s="35" t="str">
        <f>VLOOKUP(AC136,IoU_Thresholds,2,TRUE)</f>
        <v>IoU 25</v>
      </c>
      <c r="AE136" s="35" t="str">
        <f t="shared" si="49"/>
        <v>IoU 75</v>
      </c>
      <c r="AG136" s="11">
        <v>0.34562866389889751</v>
      </c>
      <c r="AH136" s="11">
        <v>0.49080538796011164</v>
      </c>
      <c r="AI136" s="11">
        <v>0.2741704478231789</v>
      </c>
      <c r="AK136" s="11">
        <f t="shared" si="50"/>
        <v>0.4182170259295046</v>
      </c>
      <c r="AL136" s="35" t="str">
        <f t="shared" si="43"/>
        <v>IoU 50</v>
      </c>
      <c r="AM136" s="35" t="str">
        <f t="shared" si="51"/>
        <v>IoU 50</v>
      </c>
    </row>
    <row r="137" spans="1:39" x14ac:dyDescent="0.2">
      <c r="C137" s="11">
        <v>0.51585285330185682</v>
      </c>
      <c r="E137" s="11" t="str">
        <f t="shared" si="41"/>
        <v>IoU 25</v>
      </c>
      <c r="G137" s="35" t="str">
        <f t="shared" si="37"/>
        <v>IoU 75</v>
      </c>
      <c r="I137" s="11">
        <v>0.19314160881748713</v>
      </c>
      <c r="K137" s="11">
        <v>0.32253666688931215</v>
      </c>
      <c r="M137" s="11">
        <v>0.19314160881748713</v>
      </c>
      <c r="N137" s="35" t="str">
        <f t="shared" si="39"/>
        <v>IoU 25</v>
      </c>
      <c r="O137" s="35" t="str">
        <f t="shared" si="45"/>
        <v>IoU 50</v>
      </c>
      <c r="Q137" s="11">
        <v>0.1960167714884696</v>
      </c>
      <c r="R137" s="11">
        <v>0.73121723420509432</v>
      </c>
      <c r="S137" s="11">
        <v>0.23157158187431823</v>
      </c>
      <c r="U137" s="11">
        <f t="shared" si="46"/>
        <v>0.46361700284678198</v>
      </c>
      <c r="V137" s="35" t="str">
        <f t="shared" si="42"/>
        <v>IoU 50</v>
      </c>
      <c r="W137" s="35" t="str">
        <f t="shared" si="47"/>
        <v>IoU 25</v>
      </c>
      <c r="Z137" s="11">
        <v>0.42312951682853972</v>
      </c>
      <c r="AA137" s="11">
        <v>0.38161106409027767</v>
      </c>
      <c r="AC137" s="11">
        <v>0.42312951682853972</v>
      </c>
      <c r="AD137" s="35" t="str">
        <f>VLOOKUP(AC137,IoU_Thresholds,2,TRUE)</f>
        <v>IoU 50</v>
      </c>
      <c r="AE137" s="35" t="str">
        <f t="shared" si="49"/>
        <v>IoU 50</v>
      </c>
      <c r="AG137" s="11">
        <v>0.21890185329465539</v>
      </c>
      <c r="AH137" s="11">
        <v>0.41444063987480662</v>
      </c>
      <c r="AI137" s="11">
        <v>0.30581489180057853</v>
      </c>
      <c r="AK137" s="11">
        <f t="shared" si="50"/>
        <v>0.316671246584731</v>
      </c>
      <c r="AL137" s="35" t="str">
        <f t="shared" si="43"/>
        <v>IoU 50</v>
      </c>
      <c r="AM137" s="35" t="str">
        <f t="shared" si="51"/>
        <v>IoU 50</v>
      </c>
    </row>
    <row r="138" spans="1:39" x14ac:dyDescent="0.2">
      <c r="A138" s="11">
        <v>0.39999862487534299</v>
      </c>
      <c r="C138" s="11">
        <v>0.39283822622248038</v>
      </c>
      <c r="E138" s="11" t="str">
        <f t="shared" si="41"/>
        <v>IoU 50</v>
      </c>
      <c r="G138" s="35" t="str">
        <f t="shared" si="37"/>
        <v>IoU 50</v>
      </c>
      <c r="I138" s="11">
        <v>0.240202390810585</v>
      </c>
      <c r="J138" s="11">
        <v>0.42006032640791191</v>
      </c>
      <c r="K138" s="11">
        <v>0.31726819097364467</v>
      </c>
      <c r="M138" s="11">
        <f t="shared" si="44"/>
        <v>0.33013135860924847</v>
      </c>
      <c r="N138" s="35" t="str">
        <f t="shared" si="39"/>
        <v>IoU 50</v>
      </c>
      <c r="O138" s="35" t="str">
        <f t="shared" si="45"/>
        <v>IoU 50</v>
      </c>
      <c r="Q138" s="11">
        <v>0.63236316113708591</v>
      </c>
      <c r="R138" s="11">
        <v>0.10246289010089958</v>
      </c>
      <c r="S138" s="11">
        <v>0.57175993387315827</v>
      </c>
      <c r="U138" s="11">
        <f t="shared" si="46"/>
        <v>0.36741302561899275</v>
      </c>
      <c r="V138" s="35" t="str">
        <f t="shared" si="42"/>
        <v>IoU 50</v>
      </c>
      <c r="W138" s="35" t="str">
        <f t="shared" si="47"/>
        <v>IoU 75</v>
      </c>
      <c r="Y138" s="11">
        <v>0.2812574669835034</v>
      </c>
      <c r="Z138" s="11">
        <v>0.44055544049119644</v>
      </c>
      <c r="AA138" s="11">
        <v>0.46501208133456029</v>
      </c>
      <c r="AC138" s="11">
        <f t="shared" si="48"/>
        <v>0.36090645373734992</v>
      </c>
      <c r="AD138" s="35" t="str">
        <f>VLOOKUP(AC138,IoU_Thresholds,2,TRUE)</f>
        <v>IoU 50</v>
      </c>
      <c r="AE138" s="35" t="str">
        <f t="shared" si="49"/>
        <v>IoU 50</v>
      </c>
      <c r="AG138" s="11">
        <v>0.16268892210596247</v>
      </c>
      <c r="AH138" s="11">
        <v>0.43749626843175299</v>
      </c>
      <c r="AI138" s="11">
        <v>0.46810533807389032</v>
      </c>
      <c r="AK138" s="11">
        <f t="shared" si="50"/>
        <v>0.30009259526885773</v>
      </c>
      <c r="AL138" s="35" t="str">
        <f t="shared" si="43"/>
        <v>IoU 50</v>
      </c>
      <c r="AM138" s="35" t="str">
        <f t="shared" si="51"/>
        <v>IoU 50</v>
      </c>
    </row>
    <row r="139" spans="1:39" x14ac:dyDescent="0.2">
      <c r="A139" s="11">
        <v>0.136843618874187</v>
      </c>
      <c r="C139" s="11">
        <v>0.43988136078391227</v>
      </c>
      <c r="E139" s="11" t="str">
        <f t="shared" si="41"/>
        <v>IoU 25</v>
      </c>
      <c r="G139" s="35" t="str">
        <f t="shared" si="37"/>
        <v>IoU 50</v>
      </c>
      <c r="I139" s="11">
        <v>0.33645677539522284</v>
      </c>
      <c r="J139" s="11">
        <v>0.40161271709237051</v>
      </c>
      <c r="K139" s="11">
        <v>0.23852946291421329</v>
      </c>
      <c r="M139" s="11">
        <f t="shared" si="44"/>
        <v>0.36903474624379667</v>
      </c>
      <c r="N139" s="35" t="str">
        <f t="shared" si="39"/>
        <v>IoU 50</v>
      </c>
      <c r="O139" s="35" t="str">
        <f t="shared" si="45"/>
        <v>IoU 25</v>
      </c>
      <c r="Q139" s="11">
        <v>0.21304263176015495</v>
      </c>
      <c r="R139" s="11">
        <v>0.4411589159552689</v>
      </c>
      <c r="S139" s="11">
        <v>0.46701098977780836</v>
      </c>
      <c r="U139" s="11">
        <f t="shared" si="46"/>
        <v>0.32710077385771191</v>
      </c>
      <c r="V139" s="35" t="str">
        <f t="shared" si="42"/>
        <v>IoU 50</v>
      </c>
      <c r="W139" s="35" t="str">
        <f t="shared" si="47"/>
        <v>IoU 50</v>
      </c>
      <c r="AD139" s="35"/>
      <c r="AE139" s="35"/>
      <c r="AG139" s="11">
        <v>0</v>
      </c>
      <c r="AH139" s="11">
        <v>0.41172855491382043</v>
      </c>
      <c r="AI139" s="11">
        <v>0.24820232370764961</v>
      </c>
      <c r="AK139" s="11">
        <f t="shared" si="50"/>
        <v>0.20586427745691022</v>
      </c>
      <c r="AL139" s="35" t="str">
        <f t="shared" si="43"/>
        <v>IoU 25</v>
      </c>
      <c r="AM139" s="35" t="str">
        <f t="shared" si="51"/>
        <v>IoU 25</v>
      </c>
    </row>
    <row r="140" spans="1:39" x14ac:dyDescent="0.2">
      <c r="A140" s="11">
        <v>0.19808672738729449</v>
      </c>
      <c r="C140" s="11">
        <v>0.38066055474235849</v>
      </c>
      <c r="E140" s="11" t="str">
        <f t="shared" si="41"/>
        <v>IoU 25</v>
      </c>
      <c r="G140" s="35" t="str">
        <f t="shared" si="37"/>
        <v>IoU 50</v>
      </c>
      <c r="I140" s="11">
        <v>0.20948935436407801</v>
      </c>
      <c r="J140" s="11">
        <v>0.64315459719499846</v>
      </c>
      <c r="K140" s="11">
        <v>0.54916751800158958</v>
      </c>
      <c r="M140" s="11">
        <f t="shared" si="44"/>
        <v>0.42632197577953823</v>
      </c>
      <c r="N140" s="35" t="str">
        <f t="shared" si="39"/>
        <v>IoU 50</v>
      </c>
      <c r="O140" s="35" t="str">
        <f t="shared" si="45"/>
        <v>IoU 75</v>
      </c>
      <c r="Q140" s="11">
        <v>0.19100092063891752</v>
      </c>
      <c r="R140" s="11">
        <v>0.2784069293348419</v>
      </c>
      <c r="S140" s="11">
        <v>0.45848920205270788</v>
      </c>
      <c r="U140" s="11">
        <f t="shared" si="46"/>
        <v>0.2347039249868797</v>
      </c>
      <c r="V140" s="35" t="str">
        <f t="shared" si="42"/>
        <v>IoU 25</v>
      </c>
      <c r="W140" s="35" t="str">
        <f t="shared" si="47"/>
        <v>IoU 50</v>
      </c>
      <c r="Y140" s="11">
        <v>0.38801921183085164</v>
      </c>
      <c r="Z140" s="11">
        <v>0.3863676328066637</v>
      </c>
      <c r="AA140" s="11">
        <v>0.40166604107430737</v>
      </c>
      <c r="AC140" s="11">
        <f t="shared" si="48"/>
        <v>0.38719342231875764</v>
      </c>
      <c r="AD140" s="35" t="str">
        <f t="shared" ref="AD140:AD147" si="52">VLOOKUP(AC140,IoU_Thresholds,2,TRUE)</f>
        <v>IoU 50</v>
      </c>
      <c r="AE140" s="35" t="str">
        <f t="shared" si="49"/>
        <v>IoU 50</v>
      </c>
      <c r="AG140" s="11">
        <v>0.40779924318094796</v>
      </c>
      <c r="AH140" s="11">
        <v>0.42475589080106879</v>
      </c>
      <c r="AI140" s="11">
        <v>0.23304010272760969</v>
      </c>
      <c r="AK140" s="11">
        <f t="shared" si="50"/>
        <v>0.41627756699100837</v>
      </c>
      <c r="AL140" s="35" t="str">
        <f t="shared" si="43"/>
        <v>IoU 50</v>
      </c>
      <c r="AM140" s="35" t="str">
        <f t="shared" si="51"/>
        <v>IoU 25</v>
      </c>
    </row>
    <row r="141" spans="1:39" x14ac:dyDescent="0.2">
      <c r="A141" s="11">
        <v>0.22503131761758341</v>
      </c>
      <c r="C141" s="11">
        <v>0.45483337216645381</v>
      </c>
      <c r="E141" s="11" t="str">
        <f t="shared" si="41"/>
        <v>IoU 25</v>
      </c>
      <c r="G141" s="35" t="str">
        <f t="shared" si="37"/>
        <v>IoU 50</v>
      </c>
      <c r="I141" s="11">
        <v>0.13634815124461808</v>
      </c>
      <c r="J141" s="11">
        <v>0.4200835943798249</v>
      </c>
      <c r="K141" s="11">
        <v>0.52342386305024191</v>
      </c>
      <c r="M141" s="11">
        <f t="shared" si="44"/>
        <v>0.27821587281222149</v>
      </c>
      <c r="N141" s="35" t="str">
        <f t="shared" si="39"/>
        <v>IoU 50</v>
      </c>
      <c r="O141" s="35" t="str">
        <f t="shared" si="45"/>
        <v>IoU 75</v>
      </c>
      <c r="Q141" s="11">
        <v>0.46476983450083198</v>
      </c>
      <c r="R141" s="11">
        <v>0.80739599726557865</v>
      </c>
      <c r="S141" s="11">
        <v>0.54429343022690235</v>
      </c>
      <c r="U141" s="11">
        <f t="shared" si="46"/>
        <v>0.63608291588320531</v>
      </c>
      <c r="V141" s="35" t="str">
        <f t="shared" si="42"/>
        <v>IoU 75</v>
      </c>
      <c r="W141" s="35" t="str">
        <f t="shared" si="47"/>
        <v>IoU 75</v>
      </c>
      <c r="Z141" s="11">
        <v>0.23377154144813023</v>
      </c>
      <c r="AA141" s="11">
        <v>0.42119915214664388</v>
      </c>
      <c r="AC141" s="11">
        <v>0.23377154144813023</v>
      </c>
      <c r="AD141" s="35" t="str">
        <f t="shared" si="52"/>
        <v>IoU 25</v>
      </c>
      <c r="AE141" s="35" t="str">
        <f t="shared" si="49"/>
        <v>IoU 50</v>
      </c>
      <c r="AG141" s="11">
        <v>0.19839659685863875</v>
      </c>
      <c r="AH141" s="11">
        <v>0.43887701465531592</v>
      </c>
      <c r="AI141" s="11">
        <v>0.40623036882627034</v>
      </c>
      <c r="AK141" s="11">
        <f t="shared" si="50"/>
        <v>0.31863680575697734</v>
      </c>
      <c r="AL141" s="35" t="str">
        <f t="shared" si="43"/>
        <v>IoU 50</v>
      </c>
      <c r="AM141" s="35" t="str">
        <f t="shared" si="51"/>
        <v>IoU 50</v>
      </c>
    </row>
    <row r="142" spans="1:39" x14ac:dyDescent="0.2">
      <c r="C142" s="11">
        <v>0.19972536960890092</v>
      </c>
      <c r="E142" s="11" t="str">
        <f t="shared" si="41"/>
        <v>IoU 25</v>
      </c>
      <c r="G142" s="35" t="str">
        <f t="shared" si="37"/>
        <v>IoU 25</v>
      </c>
      <c r="J142" s="11">
        <v>0.22638205034916908</v>
      </c>
      <c r="K142" s="11">
        <v>0.39539166200242948</v>
      </c>
      <c r="M142" s="11">
        <v>0.22638205034916908</v>
      </c>
      <c r="N142" s="35" t="str">
        <f t="shared" si="39"/>
        <v>IoU 25</v>
      </c>
      <c r="O142" s="35" t="str">
        <f t="shared" si="45"/>
        <v>IoU 50</v>
      </c>
      <c r="Q142" s="11">
        <v>0.22882493075058838</v>
      </c>
      <c r="R142" s="11">
        <v>0.36264381862828998</v>
      </c>
      <c r="S142" s="11">
        <v>0.44617136811575769</v>
      </c>
      <c r="U142" s="11">
        <f t="shared" si="46"/>
        <v>0.29573437468943919</v>
      </c>
      <c r="V142" s="35" t="str">
        <f t="shared" si="42"/>
        <v>IoU 50</v>
      </c>
      <c r="W142" s="35" t="str">
        <f t="shared" si="47"/>
        <v>IoU 50</v>
      </c>
      <c r="Y142" s="11">
        <v>0.38010929667357596</v>
      </c>
      <c r="Z142" s="11">
        <v>0.4643538794807146</v>
      </c>
      <c r="AA142" s="11">
        <v>0.16859711828330307</v>
      </c>
      <c r="AC142" s="11">
        <f t="shared" si="48"/>
        <v>0.42223158807714528</v>
      </c>
      <c r="AD142" s="35" t="str">
        <f t="shared" si="52"/>
        <v>IoU 50</v>
      </c>
      <c r="AE142" s="35" t="str">
        <f t="shared" si="49"/>
        <v>IoU 25</v>
      </c>
      <c r="AG142" s="11">
        <v>0.47877561323276963</v>
      </c>
      <c r="AH142" s="11">
        <v>0</v>
      </c>
      <c r="AI142" s="11">
        <v>0.29950939826819778</v>
      </c>
      <c r="AK142" s="11">
        <f t="shared" si="50"/>
        <v>0.23938780661638481</v>
      </c>
      <c r="AL142" s="35" t="str">
        <f t="shared" si="43"/>
        <v>IoU 25</v>
      </c>
      <c r="AM142" s="35" t="str">
        <f t="shared" si="51"/>
        <v>IoU 50</v>
      </c>
    </row>
    <row r="143" spans="1:39" x14ac:dyDescent="0.2">
      <c r="A143" s="11">
        <v>0.45433044984681609</v>
      </c>
      <c r="C143" s="11">
        <v>0.52050169553966585</v>
      </c>
      <c r="E143" s="11" t="str">
        <f t="shared" si="41"/>
        <v>IoU 50</v>
      </c>
      <c r="G143" s="35" t="str">
        <f t="shared" si="37"/>
        <v>IoU 75</v>
      </c>
      <c r="I143" s="11">
        <v>0.48901783209250704</v>
      </c>
      <c r="J143" s="11">
        <v>0.38573735439914136</v>
      </c>
      <c r="K143" s="11">
        <v>0.45764075679577398</v>
      </c>
      <c r="M143" s="11">
        <f t="shared" si="44"/>
        <v>0.4373775932458242</v>
      </c>
      <c r="N143" s="35" t="str">
        <f t="shared" si="39"/>
        <v>IoU 50</v>
      </c>
      <c r="O143" s="35" t="str">
        <f t="shared" si="45"/>
        <v>IoU 50</v>
      </c>
      <c r="Q143" s="11">
        <v>0.58882779938621899</v>
      </c>
      <c r="R143" s="11">
        <v>0.43529155183860752</v>
      </c>
      <c r="S143" s="11">
        <v>0.36769279118099324</v>
      </c>
      <c r="U143" s="11">
        <f t="shared" si="46"/>
        <v>0.51205967561241328</v>
      </c>
      <c r="V143" s="35" t="str">
        <f t="shared" si="42"/>
        <v>IoU 75</v>
      </c>
      <c r="W143" s="35" t="str">
        <f t="shared" si="47"/>
        <v>IoU 50</v>
      </c>
      <c r="Z143" s="11">
        <v>0.18799261083743843</v>
      </c>
      <c r="AA143" s="11">
        <v>0.53812900272987707</v>
      </c>
      <c r="AC143" s="11">
        <v>0.18799261083743843</v>
      </c>
      <c r="AD143" s="35" t="str">
        <f t="shared" si="52"/>
        <v>IoU 25</v>
      </c>
      <c r="AE143" s="35" t="str">
        <f t="shared" si="49"/>
        <v>IoU 75</v>
      </c>
      <c r="AG143" s="11">
        <v>0</v>
      </c>
      <c r="AH143" s="11">
        <v>0.28083274834466054</v>
      </c>
      <c r="AI143" s="11">
        <v>0.24519944042834788</v>
      </c>
      <c r="AK143" s="11">
        <f t="shared" si="50"/>
        <v>0.14041637417233027</v>
      </c>
      <c r="AL143" s="35" t="str">
        <f t="shared" si="43"/>
        <v>IoU 25</v>
      </c>
      <c r="AM143" s="35" t="str">
        <f t="shared" si="51"/>
        <v>IoU 25</v>
      </c>
    </row>
    <row r="144" spans="1:39" x14ac:dyDescent="0.2">
      <c r="C144" s="11">
        <v>0.29075836067872901</v>
      </c>
      <c r="E144" s="11" t="str">
        <f t="shared" si="41"/>
        <v>IoU 25</v>
      </c>
      <c r="G144" s="35" t="str">
        <f t="shared" si="37"/>
        <v>IoU 50</v>
      </c>
      <c r="I144" s="11">
        <v>0.46176669564999284</v>
      </c>
      <c r="J144" s="11">
        <v>0.23028270098725093</v>
      </c>
      <c r="K144" s="11">
        <v>0.32119943189000022</v>
      </c>
      <c r="M144" s="11">
        <f t="shared" si="44"/>
        <v>0.34602469831862187</v>
      </c>
      <c r="N144" s="35" t="str">
        <f t="shared" si="39"/>
        <v>IoU 50</v>
      </c>
      <c r="O144" s="35" t="str">
        <f t="shared" si="45"/>
        <v>IoU 50</v>
      </c>
      <c r="Q144" s="11">
        <v>0.21723536844791816</v>
      </c>
      <c r="R144" s="11">
        <v>0.3019330623610641</v>
      </c>
      <c r="S144" s="11">
        <v>0.17435121632271494</v>
      </c>
      <c r="U144" s="11">
        <f t="shared" si="46"/>
        <v>0.25958421540449111</v>
      </c>
      <c r="V144" s="35" t="str">
        <f t="shared" si="42"/>
        <v>IoU 50</v>
      </c>
      <c r="W144" s="35" t="str">
        <f t="shared" si="47"/>
        <v>IoU 25</v>
      </c>
      <c r="Y144" s="11">
        <v>4.7586318428074715E-3</v>
      </c>
      <c r="Z144" s="11">
        <v>0.67413155621479015</v>
      </c>
      <c r="AA144" s="11">
        <v>9.3954792025991385E-2</v>
      </c>
      <c r="AC144" s="11">
        <f t="shared" si="48"/>
        <v>0.3394450940287988</v>
      </c>
      <c r="AD144" s="35" t="str">
        <f t="shared" si="52"/>
        <v>IoU 50</v>
      </c>
      <c r="AE144" s="35" t="str">
        <f t="shared" si="49"/>
        <v>IoU 25</v>
      </c>
      <c r="AG144" s="11">
        <v>0.34437685719658317</v>
      </c>
      <c r="AH144" s="11">
        <v>0.19157976052529935</v>
      </c>
      <c r="AI144" s="11">
        <v>0.31889666281358287</v>
      </c>
      <c r="AK144" s="11">
        <f t="shared" si="50"/>
        <v>0.26797830886094126</v>
      </c>
      <c r="AL144" s="35" t="str">
        <f t="shared" si="43"/>
        <v>IoU 50</v>
      </c>
      <c r="AM144" s="35" t="str">
        <f t="shared" si="51"/>
        <v>IoU 50</v>
      </c>
    </row>
    <row r="145" spans="1:39" x14ac:dyDescent="0.2">
      <c r="A145" s="11">
        <v>0.57968715621954958</v>
      </c>
      <c r="C145" s="11">
        <v>0.28309889712425912</v>
      </c>
      <c r="E145" s="11" t="str">
        <f t="shared" si="41"/>
        <v>IoU 75</v>
      </c>
      <c r="G145" s="35" t="str">
        <f t="shared" si="37"/>
        <v>IoU 50</v>
      </c>
      <c r="J145" s="11">
        <v>6.7790030693913289E-2</v>
      </c>
      <c r="K145" s="11">
        <v>0.33322469096473706</v>
      </c>
      <c r="M145" s="11">
        <v>6.7790030693913289E-2</v>
      </c>
      <c r="N145" s="35" t="str">
        <f t="shared" si="39"/>
        <v>IoU 25</v>
      </c>
      <c r="O145" s="35" t="str">
        <f t="shared" si="45"/>
        <v>IoU 50</v>
      </c>
      <c r="Q145" s="11">
        <v>0.56546109655867471</v>
      </c>
      <c r="R145" s="11">
        <v>0.67948372457745099</v>
      </c>
      <c r="S145" s="11">
        <v>0.6434381062800929</v>
      </c>
      <c r="U145" s="11">
        <f t="shared" si="46"/>
        <v>0.6224724105680628</v>
      </c>
      <c r="V145" s="35" t="str">
        <f t="shared" si="42"/>
        <v>IoU 75</v>
      </c>
      <c r="W145" s="35" t="str">
        <f t="shared" si="47"/>
        <v>IoU 75</v>
      </c>
      <c r="Y145" s="11">
        <v>6.2797335870599436E-2</v>
      </c>
      <c r="Z145" s="11">
        <v>0.54944616886422426</v>
      </c>
      <c r="AA145" s="11">
        <v>0.38876812246367737</v>
      </c>
      <c r="AC145" s="11">
        <f t="shared" si="48"/>
        <v>0.30612175236741185</v>
      </c>
      <c r="AD145" s="35" t="str">
        <f t="shared" si="52"/>
        <v>IoU 50</v>
      </c>
      <c r="AE145" s="35" t="str">
        <f t="shared" si="49"/>
        <v>IoU 50</v>
      </c>
      <c r="AG145" s="11">
        <v>0.46021642248627581</v>
      </c>
      <c r="AH145" s="11">
        <v>0.43066332000670893</v>
      </c>
      <c r="AI145" s="11">
        <v>0.36598779070922316</v>
      </c>
      <c r="AK145" s="11">
        <f t="shared" si="50"/>
        <v>0.44543987124649237</v>
      </c>
      <c r="AL145" s="35" t="str">
        <f t="shared" si="43"/>
        <v>IoU 50</v>
      </c>
      <c r="AM145" s="35" t="str">
        <f t="shared" si="51"/>
        <v>IoU 50</v>
      </c>
    </row>
    <row r="146" spans="1:39" x14ac:dyDescent="0.2">
      <c r="A146" s="11">
        <v>0.25497311279235291</v>
      </c>
      <c r="C146" s="11">
        <v>0.28945975279071667</v>
      </c>
      <c r="E146" s="11" t="str">
        <f t="shared" si="41"/>
        <v>IoU 50</v>
      </c>
      <c r="G146" s="35" t="str">
        <f t="shared" si="37"/>
        <v>IoU 50</v>
      </c>
      <c r="J146" s="11">
        <v>0.22094827219790028</v>
      </c>
      <c r="K146" s="11">
        <v>0.37752535105729013</v>
      </c>
      <c r="M146" s="11">
        <v>0.22094827219790028</v>
      </c>
      <c r="N146" s="35" t="str">
        <f t="shared" ref="N146:N177" si="53">VLOOKUP(M146,IoU_Thresholds,2,TRUE)</f>
        <v>IoU 25</v>
      </c>
      <c r="O146" s="35" t="str">
        <f t="shared" si="45"/>
        <v>IoU 50</v>
      </c>
      <c r="Q146" s="11">
        <v>0.51262128963933362</v>
      </c>
      <c r="R146" s="11">
        <v>0.44923375405643085</v>
      </c>
      <c r="S146" s="11">
        <v>0.30077369910392043</v>
      </c>
      <c r="U146" s="11">
        <f t="shared" si="46"/>
        <v>0.48092752184788223</v>
      </c>
      <c r="V146" s="35" t="str">
        <f t="shared" si="42"/>
        <v>IoU 50</v>
      </c>
      <c r="W146" s="35" t="str">
        <f t="shared" si="47"/>
        <v>IoU 50</v>
      </c>
      <c r="Y146" s="11">
        <v>5.6587837837837836E-2</v>
      </c>
      <c r="Z146" s="11">
        <v>0.73139005863092921</v>
      </c>
      <c r="AA146" s="11">
        <v>0.45906967116295783</v>
      </c>
      <c r="AC146" s="11">
        <f t="shared" si="48"/>
        <v>0.39398894823438352</v>
      </c>
      <c r="AD146" s="35" t="str">
        <f t="shared" si="52"/>
        <v>IoU 50</v>
      </c>
      <c r="AE146" s="35" t="str">
        <f t="shared" si="49"/>
        <v>IoU 50</v>
      </c>
      <c r="AG146" s="11">
        <v>0.1383839728992052</v>
      </c>
      <c r="AH146" s="11">
        <v>0.48224077585193675</v>
      </c>
      <c r="AI146" s="11">
        <v>0.32766376462678987</v>
      </c>
      <c r="AK146" s="11">
        <f t="shared" si="50"/>
        <v>0.31031237437557097</v>
      </c>
      <c r="AL146" s="35" t="str">
        <f t="shared" si="43"/>
        <v>IoU 50</v>
      </c>
      <c r="AM146" s="35" t="str">
        <f t="shared" si="51"/>
        <v>IoU 50</v>
      </c>
    </row>
    <row r="147" spans="1:39" x14ac:dyDescent="0.2">
      <c r="A147" s="11">
        <v>0.39000941878714146</v>
      </c>
      <c r="C147" s="11">
        <v>0.49620898278150366</v>
      </c>
      <c r="E147" s="11" t="str">
        <f t="shared" si="41"/>
        <v>IoU 50</v>
      </c>
      <c r="G147" s="35" t="str">
        <f t="shared" si="37"/>
        <v>IoU 50</v>
      </c>
      <c r="I147" s="11">
        <v>0.45299187628738646</v>
      </c>
      <c r="J147" s="11">
        <v>0.4264127424634932</v>
      </c>
      <c r="K147" s="11">
        <v>0.48559805075467166</v>
      </c>
      <c r="M147" s="11">
        <f t="shared" si="44"/>
        <v>0.43970230937543986</v>
      </c>
      <c r="N147" s="35" t="str">
        <f t="shared" si="53"/>
        <v>IoU 50</v>
      </c>
      <c r="O147" s="35" t="str">
        <f t="shared" si="45"/>
        <v>IoU 50</v>
      </c>
      <c r="Q147" s="11">
        <v>0.25091271726415898</v>
      </c>
      <c r="R147" s="11">
        <v>0.73148853309950668</v>
      </c>
      <c r="S147" s="11">
        <v>0.42832954316189009</v>
      </c>
      <c r="U147" s="11">
        <f t="shared" si="46"/>
        <v>0.49120062518183283</v>
      </c>
      <c r="V147" s="35" t="str">
        <f t="shared" si="42"/>
        <v>IoU 50</v>
      </c>
      <c r="W147" s="35" t="str">
        <f t="shared" si="47"/>
        <v>IoU 50</v>
      </c>
      <c r="Z147" s="11">
        <v>0.50476349961464229</v>
      </c>
      <c r="AA147" s="11">
        <v>0.42906114318755206</v>
      </c>
      <c r="AC147" s="11">
        <v>0.50476349961464229</v>
      </c>
      <c r="AD147" s="35" t="str">
        <f t="shared" si="52"/>
        <v>IoU 75</v>
      </c>
      <c r="AE147" s="35" t="str">
        <f t="shared" si="49"/>
        <v>IoU 50</v>
      </c>
      <c r="AG147" s="11">
        <v>0.3406288427127413</v>
      </c>
      <c r="AH147" s="11">
        <v>0.3779726566363843</v>
      </c>
      <c r="AI147" s="11">
        <v>0.30405643099847762</v>
      </c>
      <c r="AK147" s="11">
        <f t="shared" si="50"/>
        <v>0.35930074967456282</v>
      </c>
      <c r="AL147" s="35" t="str">
        <f t="shared" si="43"/>
        <v>IoU 50</v>
      </c>
      <c r="AM147" s="35" t="str">
        <f t="shared" si="51"/>
        <v>IoU 50</v>
      </c>
    </row>
    <row r="148" spans="1:39" x14ac:dyDescent="0.2">
      <c r="C148" s="11">
        <v>9.3045132006232364E-2</v>
      </c>
      <c r="E148" s="11" t="str">
        <f t="shared" si="41"/>
        <v>IoU 25</v>
      </c>
      <c r="G148" s="35" t="str">
        <f t="shared" ref="G148:G211" si="54">VLOOKUP(C148,IoU_Thresholds,2,TRUE)</f>
        <v>IoU 25</v>
      </c>
      <c r="I148" s="11">
        <v>0.26388838181409413</v>
      </c>
      <c r="J148" s="11">
        <v>0.16772099217579492</v>
      </c>
      <c r="K148" s="11">
        <v>0.32253207069767015</v>
      </c>
      <c r="M148" s="11">
        <f t="shared" si="44"/>
        <v>0.21580468699494454</v>
      </c>
      <c r="N148" s="35" t="str">
        <f t="shared" si="53"/>
        <v>IoU 25</v>
      </c>
      <c r="O148" s="35" t="str">
        <f t="shared" si="45"/>
        <v>IoU 50</v>
      </c>
      <c r="Q148" s="11">
        <v>0.40313189354740309</v>
      </c>
      <c r="R148" s="11">
        <v>0.39510116619392299</v>
      </c>
      <c r="S148" s="11">
        <v>0.54330165055778701</v>
      </c>
      <c r="U148" s="11">
        <f t="shared" si="46"/>
        <v>0.39911652987066304</v>
      </c>
      <c r="V148" s="35" t="str">
        <f t="shared" si="42"/>
        <v>IoU 50</v>
      </c>
      <c r="W148" s="35" t="str">
        <f t="shared" si="47"/>
        <v>IoU 75</v>
      </c>
      <c r="AD148" s="35"/>
      <c r="AE148" s="35"/>
      <c r="AG148" s="11">
        <v>0.40136370901206242</v>
      </c>
      <c r="AH148" s="11">
        <v>0.36390307511957093</v>
      </c>
      <c r="AI148" s="11">
        <v>0.21972809752754552</v>
      </c>
      <c r="AK148" s="11">
        <f t="shared" si="50"/>
        <v>0.3826333920658167</v>
      </c>
      <c r="AL148" s="35" t="str">
        <f t="shared" si="43"/>
        <v>IoU 50</v>
      </c>
      <c r="AM148" s="35" t="str">
        <f t="shared" si="51"/>
        <v>IoU 25</v>
      </c>
    </row>
    <row r="149" spans="1:39" x14ac:dyDescent="0.2">
      <c r="A149" s="11">
        <v>0.54021128723526257</v>
      </c>
      <c r="C149" s="11">
        <v>0.49311331261049457</v>
      </c>
      <c r="E149" s="11" t="str">
        <f t="shared" si="41"/>
        <v>IoU 75</v>
      </c>
      <c r="G149" s="35" t="str">
        <f t="shared" si="54"/>
        <v>IoU 50</v>
      </c>
      <c r="J149" s="11">
        <v>0.40176385843361961</v>
      </c>
      <c r="K149" s="11">
        <v>0.42288651019410267</v>
      </c>
      <c r="M149" s="11">
        <v>0.40176385843361961</v>
      </c>
      <c r="N149" s="35" t="str">
        <f t="shared" si="53"/>
        <v>IoU 50</v>
      </c>
      <c r="O149" s="35" t="str">
        <f t="shared" si="45"/>
        <v>IoU 50</v>
      </c>
      <c r="Q149" s="11">
        <v>0.36676237568584807</v>
      </c>
      <c r="R149" s="11">
        <v>0.85596443703344738</v>
      </c>
      <c r="S149" s="11">
        <v>0.4868826508304992</v>
      </c>
      <c r="U149" s="11">
        <f t="shared" si="46"/>
        <v>0.6113634063596477</v>
      </c>
      <c r="V149" s="35" t="str">
        <f t="shared" si="42"/>
        <v>IoU 75</v>
      </c>
      <c r="W149" s="35" t="str">
        <f t="shared" si="47"/>
        <v>IoU 50</v>
      </c>
      <c r="Z149" s="11">
        <v>0.24424424881616189</v>
      </c>
      <c r="AA149" s="11">
        <v>0.39197699790235424</v>
      </c>
      <c r="AC149" s="11">
        <v>0.24424424881616189</v>
      </c>
      <c r="AD149" s="35" t="str">
        <f t="shared" ref="AD149:AD180" si="55">VLOOKUP(AC149,IoU_Thresholds,2,TRUE)</f>
        <v>IoU 25</v>
      </c>
      <c r="AE149" s="35" t="str">
        <f t="shared" si="49"/>
        <v>IoU 50</v>
      </c>
      <c r="AG149" s="11">
        <v>7.9827541154951654E-3</v>
      </c>
      <c r="AH149" s="11">
        <v>0.55550027374687161</v>
      </c>
      <c r="AI149" s="11">
        <v>0.14202755666307465</v>
      </c>
      <c r="AK149" s="11">
        <f t="shared" si="50"/>
        <v>0.28174151393118341</v>
      </c>
      <c r="AL149" s="35" t="str">
        <f t="shared" si="43"/>
        <v>IoU 50</v>
      </c>
      <c r="AM149" s="35" t="str">
        <f t="shared" si="51"/>
        <v>IoU 25</v>
      </c>
    </row>
    <row r="150" spans="1:39" x14ac:dyDescent="0.2">
      <c r="A150" s="11">
        <v>0.31851030058388341</v>
      </c>
      <c r="C150" s="11">
        <v>0.2309475333960993</v>
      </c>
      <c r="E150" s="11" t="str">
        <f t="shared" si="41"/>
        <v>IoU 50</v>
      </c>
      <c r="G150" s="35" t="str">
        <f t="shared" si="54"/>
        <v>IoU 25</v>
      </c>
      <c r="J150" s="11">
        <v>0.3986836777209638</v>
      </c>
      <c r="K150" s="11">
        <v>0.49398444019409515</v>
      </c>
      <c r="M150" s="11">
        <v>0.3986836777209638</v>
      </c>
      <c r="N150" s="35" t="str">
        <f t="shared" si="53"/>
        <v>IoU 50</v>
      </c>
      <c r="O150" s="35" t="str">
        <f t="shared" si="45"/>
        <v>IoU 50</v>
      </c>
      <c r="Q150" s="11">
        <v>0</v>
      </c>
      <c r="R150" s="11">
        <v>0.3016133750696664</v>
      </c>
      <c r="S150" s="11">
        <v>0.33064673985006254</v>
      </c>
      <c r="U150" s="11">
        <f t="shared" si="46"/>
        <v>0.1508066875348332</v>
      </c>
      <c r="V150" s="35" t="str">
        <f t="shared" si="42"/>
        <v>IoU 25</v>
      </c>
      <c r="W150" s="35" t="str">
        <f t="shared" si="47"/>
        <v>IoU 50</v>
      </c>
      <c r="Y150" s="11">
        <v>0.37372700245855522</v>
      </c>
      <c r="Z150" s="11">
        <v>0.7236535234635233</v>
      </c>
      <c r="AA150" s="11">
        <v>0.62854965140939267</v>
      </c>
      <c r="AC150" s="11">
        <f t="shared" si="48"/>
        <v>0.54869026296103929</v>
      </c>
      <c r="AD150" s="35" t="str">
        <f t="shared" si="55"/>
        <v>IoU 75</v>
      </c>
      <c r="AE150" s="35" t="str">
        <f t="shared" si="49"/>
        <v>IoU 75</v>
      </c>
      <c r="AG150" s="11">
        <v>7.262375087148501E-2</v>
      </c>
      <c r="AH150" s="11">
        <v>0.1360128617363344</v>
      </c>
      <c r="AI150" s="11">
        <v>0.51944116574311128</v>
      </c>
      <c r="AK150" s="11">
        <f t="shared" si="50"/>
        <v>0.1043183063039097</v>
      </c>
      <c r="AL150" s="35" t="str">
        <f t="shared" si="43"/>
        <v>IoU 25</v>
      </c>
      <c r="AM150" s="35" t="str">
        <f t="shared" si="51"/>
        <v>IoU 75</v>
      </c>
    </row>
    <row r="151" spans="1:39" x14ac:dyDescent="0.2">
      <c r="A151" s="11">
        <v>0.5341150773501997</v>
      </c>
      <c r="C151" s="11">
        <v>0.26232913830442905</v>
      </c>
      <c r="E151" s="11" t="str">
        <f t="shared" si="41"/>
        <v>IoU 75</v>
      </c>
      <c r="G151" s="35" t="str">
        <f t="shared" si="54"/>
        <v>IoU 50</v>
      </c>
      <c r="I151" s="11">
        <v>0.26502314469126914</v>
      </c>
      <c r="J151" s="11">
        <v>0.19734766966207226</v>
      </c>
      <c r="K151" s="11">
        <v>0.32819601242091384</v>
      </c>
      <c r="M151" s="11">
        <f t="shared" si="44"/>
        <v>0.23118540717667069</v>
      </c>
      <c r="N151" s="35" t="str">
        <f t="shared" si="53"/>
        <v>IoU 25</v>
      </c>
      <c r="O151" s="35" t="str">
        <f t="shared" si="45"/>
        <v>IoU 50</v>
      </c>
      <c r="Q151" s="11">
        <v>0.59852875614822487</v>
      </c>
      <c r="R151" s="11">
        <v>0.43531076596503249</v>
      </c>
      <c r="S151" s="11">
        <v>0.3513992193224782</v>
      </c>
      <c r="U151" s="11">
        <f t="shared" si="46"/>
        <v>0.51691976105662873</v>
      </c>
      <c r="V151" s="35" t="str">
        <f t="shared" si="42"/>
        <v>IoU 75</v>
      </c>
      <c r="W151" s="35" t="str">
        <f t="shared" si="47"/>
        <v>IoU 50</v>
      </c>
      <c r="Y151" s="11">
        <v>0.18547163637445341</v>
      </c>
      <c r="Z151" s="11">
        <v>0.84682844713739291</v>
      </c>
      <c r="AA151" s="11">
        <v>0.47233471638048891</v>
      </c>
      <c r="AC151" s="11">
        <f t="shared" si="48"/>
        <v>0.51615004175592316</v>
      </c>
      <c r="AD151" s="35" t="str">
        <f t="shared" si="55"/>
        <v>IoU 75</v>
      </c>
      <c r="AE151" s="35" t="str">
        <f t="shared" si="49"/>
        <v>IoU 50</v>
      </c>
      <c r="AG151" s="11">
        <v>0</v>
      </c>
      <c r="AH151" s="11">
        <v>0.60923473572613451</v>
      </c>
      <c r="AI151" s="11">
        <v>0.37535623130483398</v>
      </c>
      <c r="AK151" s="11">
        <f t="shared" si="50"/>
        <v>0.30461736786306726</v>
      </c>
      <c r="AL151" s="35" t="str">
        <f t="shared" si="43"/>
        <v>IoU 50</v>
      </c>
      <c r="AM151" s="35" t="str">
        <f t="shared" si="51"/>
        <v>IoU 50</v>
      </c>
    </row>
    <row r="152" spans="1:39" x14ac:dyDescent="0.2">
      <c r="A152" s="11">
        <v>8.2398368060614888E-2</v>
      </c>
      <c r="C152" s="11">
        <v>0.29456919818676763</v>
      </c>
      <c r="E152" s="11" t="str">
        <f t="shared" si="41"/>
        <v>IoU 25</v>
      </c>
      <c r="G152" s="35" t="str">
        <f t="shared" si="54"/>
        <v>IoU 50</v>
      </c>
      <c r="I152" s="11">
        <v>0</v>
      </c>
      <c r="J152" s="11">
        <v>0.42644765632494308</v>
      </c>
      <c r="K152" s="11">
        <v>0.32344005443714308</v>
      </c>
      <c r="M152" s="11">
        <f t="shared" si="44"/>
        <v>0.21322382816247154</v>
      </c>
      <c r="N152" s="35" t="str">
        <f t="shared" si="53"/>
        <v>IoU 25</v>
      </c>
      <c r="O152" s="35" t="str">
        <f t="shared" si="45"/>
        <v>IoU 50</v>
      </c>
      <c r="Q152" s="11">
        <v>0.58246172336747037</v>
      </c>
      <c r="R152" s="11">
        <v>0.27871040417065829</v>
      </c>
      <c r="S152" s="11">
        <v>0.33863232226240703</v>
      </c>
      <c r="U152" s="11">
        <f t="shared" si="46"/>
        <v>0.43058606376906433</v>
      </c>
      <c r="V152" s="35" t="str">
        <f t="shared" si="42"/>
        <v>IoU 50</v>
      </c>
      <c r="W152" s="35" t="str">
        <f t="shared" si="47"/>
        <v>IoU 50</v>
      </c>
      <c r="Y152" s="11">
        <v>0.27701566417400492</v>
      </c>
      <c r="Z152" s="11">
        <v>0.52968838728756329</v>
      </c>
      <c r="AA152" s="11">
        <v>0.41831427207734878</v>
      </c>
      <c r="AC152" s="11">
        <f t="shared" si="48"/>
        <v>0.4033520257307841</v>
      </c>
      <c r="AD152" s="35" t="str">
        <f t="shared" si="55"/>
        <v>IoU 50</v>
      </c>
      <c r="AE152" s="35" t="str">
        <f t="shared" si="49"/>
        <v>IoU 50</v>
      </c>
      <c r="AG152" s="11">
        <v>0</v>
      </c>
      <c r="AH152" s="11">
        <v>3.6508920575876562E-2</v>
      </c>
      <c r="AI152" s="11">
        <v>0.5299936188100981</v>
      </c>
      <c r="AK152" s="11">
        <f t="shared" si="50"/>
        <v>1.8254460287938281E-2</v>
      </c>
      <c r="AL152" s="35" t="str">
        <f t="shared" si="43"/>
        <v>IoU 25</v>
      </c>
      <c r="AM152" s="35" t="str">
        <f t="shared" si="51"/>
        <v>IoU 75</v>
      </c>
    </row>
    <row r="153" spans="1:39" x14ac:dyDescent="0.2">
      <c r="C153" s="11">
        <v>0.42895223736219096</v>
      </c>
      <c r="E153" s="11" t="str">
        <f t="shared" si="41"/>
        <v>IoU 25</v>
      </c>
      <c r="G153" s="35" t="str">
        <f t="shared" si="54"/>
        <v>IoU 50</v>
      </c>
      <c r="I153" s="11">
        <v>0.23353466460589445</v>
      </c>
      <c r="J153" s="11">
        <v>0.85213485421031532</v>
      </c>
      <c r="K153" s="11">
        <v>0.25065711033944132</v>
      </c>
      <c r="M153" s="11">
        <f t="shared" si="44"/>
        <v>0.54283475940810488</v>
      </c>
      <c r="N153" s="35" t="str">
        <f t="shared" si="53"/>
        <v>IoU 75</v>
      </c>
      <c r="O153" s="35" t="str">
        <f t="shared" si="45"/>
        <v>IoU 50</v>
      </c>
      <c r="Q153" s="11">
        <v>0.19157662957088412</v>
      </c>
      <c r="R153" s="11">
        <v>0.45561790402891533</v>
      </c>
      <c r="S153" s="11">
        <v>0.46439463156621197</v>
      </c>
      <c r="U153" s="11">
        <f t="shared" si="46"/>
        <v>0.32359726679989975</v>
      </c>
      <c r="V153" s="35" t="str">
        <f t="shared" si="42"/>
        <v>IoU 50</v>
      </c>
      <c r="W153" s="35" t="str">
        <f t="shared" si="47"/>
        <v>IoU 50</v>
      </c>
      <c r="Y153" s="11">
        <v>0.18541190995561269</v>
      </c>
      <c r="Z153" s="11">
        <v>0.42472750746567167</v>
      </c>
      <c r="AA153" s="11">
        <v>0.49682844775444968</v>
      </c>
      <c r="AC153" s="11">
        <f t="shared" si="48"/>
        <v>0.30506970871064221</v>
      </c>
      <c r="AD153" s="35" t="str">
        <f t="shared" si="55"/>
        <v>IoU 50</v>
      </c>
      <c r="AE153" s="35" t="str">
        <f t="shared" si="49"/>
        <v>IoU 50</v>
      </c>
      <c r="AG153" s="11">
        <v>0.35204910776485659</v>
      </c>
      <c r="AH153" s="11">
        <v>0.38875879038883454</v>
      </c>
      <c r="AI153" s="11">
        <v>0.43521422288048822</v>
      </c>
      <c r="AK153" s="11">
        <f t="shared" si="50"/>
        <v>0.3704039490768456</v>
      </c>
      <c r="AL153" s="35" t="str">
        <f t="shared" si="43"/>
        <v>IoU 50</v>
      </c>
      <c r="AM153" s="35" t="str">
        <f t="shared" si="51"/>
        <v>IoU 50</v>
      </c>
    </row>
    <row r="154" spans="1:39" x14ac:dyDescent="0.2">
      <c r="A154" s="11">
        <v>0.51874810720903852</v>
      </c>
      <c r="C154" s="11">
        <v>1.4465787206227531E-2</v>
      </c>
      <c r="E154" s="11" t="str">
        <f t="shared" si="41"/>
        <v>IoU 75</v>
      </c>
      <c r="G154" s="35" t="str">
        <f t="shared" si="54"/>
        <v>IoU 25</v>
      </c>
      <c r="I154" s="11">
        <v>0</v>
      </c>
      <c r="J154" s="11">
        <v>0.61437140706030591</v>
      </c>
      <c r="K154" s="11">
        <v>0.44653717607573834</v>
      </c>
      <c r="M154" s="11">
        <f t="shared" si="44"/>
        <v>0.30718570353015295</v>
      </c>
      <c r="N154" s="35" t="str">
        <f t="shared" si="53"/>
        <v>IoU 50</v>
      </c>
      <c r="O154" s="35" t="str">
        <f t="shared" si="45"/>
        <v>IoU 50</v>
      </c>
      <c r="Q154" s="11">
        <v>0.54733114427645124</v>
      </c>
      <c r="R154" s="11">
        <v>0.64268161977932814</v>
      </c>
      <c r="S154" s="11">
        <v>0.47910994756503189</v>
      </c>
      <c r="U154" s="11">
        <f t="shared" si="46"/>
        <v>0.59500638202788969</v>
      </c>
      <c r="V154" s="35" t="str">
        <f t="shared" si="42"/>
        <v>IoU 75</v>
      </c>
      <c r="W154" s="35" t="str">
        <f t="shared" si="47"/>
        <v>IoU 50</v>
      </c>
      <c r="Y154" s="11">
        <v>0.36301625878062926</v>
      </c>
      <c r="Z154" s="11">
        <v>0.85332137321116996</v>
      </c>
      <c r="AA154" s="11">
        <v>0.33967400029930206</v>
      </c>
      <c r="AC154" s="11">
        <f t="shared" si="48"/>
        <v>0.60816881599589956</v>
      </c>
      <c r="AD154" s="35" t="str">
        <f t="shared" si="55"/>
        <v>IoU 75</v>
      </c>
      <c r="AE154" s="35" t="str">
        <f t="shared" si="49"/>
        <v>IoU 50</v>
      </c>
      <c r="AG154" s="11">
        <v>0.10722609830253133</v>
      </c>
      <c r="AH154" s="11">
        <v>0.5397113336102386</v>
      </c>
      <c r="AI154" s="11">
        <v>0.14368621072633581</v>
      </c>
      <c r="AK154" s="11">
        <f t="shared" si="50"/>
        <v>0.32346871595638493</v>
      </c>
      <c r="AL154" s="35" t="str">
        <f t="shared" si="43"/>
        <v>IoU 50</v>
      </c>
      <c r="AM154" s="35" t="str">
        <f t="shared" si="51"/>
        <v>IoU 25</v>
      </c>
    </row>
    <row r="155" spans="1:39" x14ac:dyDescent="0.2">
      <c r="A155" s="11">
        <v>0.33546391378432017</v>
      </c>
      <c r="C155" s="11">
        <v>0.52545603078145631</v>
      </c>
      <c r="E155" s="11" t="str">
        <f t="shared" si="41"/>
        <v>IoU 50</v>
      </c>
      <c r="G155" s="35" t="str">
        <f t="shared" si="54"/>
        <v>IoU 75</v>
      </c>
      <c r="I155" s="11">
        <v>0.25839662606951408</v>
      </c>
      <c r="J155" s="11">
        <v>0.62900271609898395</v>
      </c>
      <c r="K155" s="11">
        <v>0.26776748711876863</v>
      </c>
      <c r="M155" s="11">
        <f t="shared" si="44"/>
        <v>0.44369967108424901</v>
      </c>
      <c r="N155" s="35" t="str">
        <f t="shared" si="53"/>
        <v>IoU 50</v>
      </c>
      <c r="O155" s="35" t="str">
        <f t="shared" si="45"/>
        <v>IoU 50</v>
      </c>
      <c r="Q155" s="11">
        <v>0.45730452961166146</v>
      </c>
      <c r="R155" s="11">
        <v>0.60312594476585069</v>
      </c>
      <c r="S155" s="11">
        <v>0.24112286052222498</v>
      </c>
      <c r="U155" s="11">
        <f t="shared" si="46"/>
        <v>0.53021523718875607</v>
      </c>
      <c r="V155" s="35" t="str">
        <f t="shared" si="42"/>
        <v>IoU 75</v>
      </c>
      <c r="W155" s="35" t="str">
        <f t="shared" si="47"/>
        <v>IoU 25</v>
      </c>
      <c r="Y155" s="11">
        <v>8.098435462842242E-2</v>
      </c>
      <c r="Z155" s="11">
        <v>0.4898207501634978</v>
      </c>
      <c r="AA155" s="11">
        <v>0.62184204296036327</v>
      </c>
      <c r="AC155" s="11">
        <f t="shared" si="48"/>
        <v>0.28540255239596013</v>
      </c>
      <c r="AD155" s="35" t="str">
        <f t="shared" si="55"/>
        <v>IoU 50</v>
      </c>
      <c r="AE155" s="35" t="str">
        <f t="shared" si="49"/>
        <v>IoU 75</v>
      </c>
      <c r="AG155" s="11">
        <v>0.20969015619587286</v>
      </c>
      <c r="AH155" s="11">
        <v>0.3087007297317288</v>
      </c>
      <c r="AI155" s="11">
        <v>0.4144213860066186</v>
      </c>
      <c r="AK155" s="11">
        <f t="shared" si="50"/>
        <v>0.25919544296380082</v>
      </c>
      <c r="AL155" s="35" t="str">
        <f t="shared" si="43"/>
        <v>IoU 50</v>
      </c>
      <c r="AM155" s="35" t="str">
        <f t="shared" si="51"/>
        <v>IoU 50</v>
      </c>
    </row>
    <row r="156" spans="1:39" x14ac:dyDescent="0.2">
      <c r="A156" s="11">
        <v>0.32789623188616401</v>
      </c>
      <c r="C156" s="11">
        <v>0.34788481932984072</v>
      </c>
      <c r="E156" s="11" t="str">
        <f t="shared" si="41"/>
        <v>IoU 50</v>
      </c>
      <c r="G156" s="35" t="str">
        <f t="shared" si="54"/>
        <v>IoU 50</v>
      </c>
      <c r="I156" s="11">
        <v>0.47352348850226761</v>
      </c>
      <c r="J156" s="11">
        <v>0.4430775540572775</v>
      </c>
      <c r="K156" s="11">
        <v>0.23730997872056914</v>
      </c>
      <c r="M156" s="11">
        <f t="shared" si="44"/>
        <v>0.45830052127977255</v>
      </c>
      <c r="N156" s="35" t="str">
        <f t="shared" si="53"/>
        <v>IoU 50</v>
      </c>
      <c r="O156" s="35" t="str">
        <f t="shared" si="45"/>
        <v>IoU 25</v>
      </c>
      <c r="R156" s="11">
        <v>0.76479353186804233</v>
      </c>
      <c r="S156" s="11">
        <v>0.56404502443210724</v>
      </c>
      <c r="U156" s="11">
        <v>0.76479353186804233</v>
      </c>
      <c r="V156" s="35" t="str">
        <f t="shared" si="42"/>
        <v>IoU 100</v>
      </c>
      <c r="W156" s="35" t="str">
        <f t="shared" si="47"/>
        <v>IoU 75</v>
      </c>
      <c r="Y156" s="11">
        <v>0.21105533651792233</v>
      </c>
      <c r="AC156" s="11">
        <v>0.21105533651792233</v>
      </c>
      <c r="AD156" s="35" t="str">
        <f t="shared" si="55"/>
        <v>IoU 25</v>
      </c>
      <c r="AE156" s="35"/>
      <c r="AG156" s="11">
        <v>0.20814680140200259</v>
      </c>
      <c r="AH156" s="11">
        <v>0.43121223339774062</v>
      </c>
      <c r="AI156" s="11">
        <v>0.58863042493129858</v>
      </c>
      <c r="AK156" s="11">
        <f t="shared" si="50"/>
        <v>0.3196795173998716</v>
      </c>
      <c r="AL156" s="35" t="str">
        <f t="shared" si="43"/>
        <v>IoU 50</v>
      </c>
      <c r="AM156" s="35" t="str">
        <f t="shared" si="51"/>
        <v>IoU 75</v>
      </c>
    </row>
    <row r="157" spans="1:39" x14ac:dyDescent="0.2">
      <c r="A157" s="11">
        <v>0.39260481352609533</v>
      </c>
      <c r="C157" s="11">
        <v>4.0203053208833557E-2</v>
      </c>
      <c r="E157" s="11" t="str">
        <f t="shared" si="41"/>
        <v>IoU 50</v>
      </c>
      <c r="G157" s="35" t="str">
        <f t="shared" si="54"/>
        <v>IoU 25</v>
      </c>
      <c r="I157" s="11">
        <v>0.58659219859898171</v>
      </c>
      <c r="J157" s="11">
        <v>0.5284543357415743</v>
      </c>
      <c r="K157" s="11">
        <v>0.29676273142700271</v>
      </c>
      <c r="M157" s="11">
        <f t="shared" si="44"/>
        <v>0.557523267170278</v>
      </c>
      <c r="N157" s="35" t="str">
        <f t="shared" si="53"/>
        <v>IoU 75</v>
      </c>
      <c r="O157" s="35" t="str">
        <f t="shared" si="45"/>
        <v>IoU 50</v>
      </c>
      <c r="Q157" s="11">
        <v>0.55073609571046045</v>
      </c>
      <c r="R157" s="11">
        <v>0.14958734525447043</v>
      </c>
      <c r="S157" s="11">
        <v>0.62846936994779601</v>
      </c>
      <c r="U157" s="11">
        <f t="shared" si="46"/>
        <v>0.35016172048246541</v>
      </c>
      <c r="V157" s="35" t="str">
        <f t="shared" si="42"/>
        <v>IoU 50</v>
      </c>
      <c r="W157" s="35" t="str">
        <f t="shared" si="47"/>
        <v>IoU 75</v>
      </c>
      <c r="Y157" s="11">
        <v>0.17028772753963595</v>
      </c>
      <c r="Z157" s="11">
        <v>0.390044969371591</v>
      </c>
      <c r="AA157" s="11">
        <v>0.51656849580295217</v>
      </c>
      <c r="AC157" s="11">
        <f t="shared" si="48"/>
        <v>0.2801663484556135</v>
      </c>
      <c r="AD157" s="35" t="str">
        <f t="shared" si="55"/>
        <v>IoU 50</v>
      </c>
      <c r="AE157" s="35" t="str">
        <f t="shared" si="49"/>
        <v>IoU 75</v>
      </c>
      <c r="AG157" s="11">
        <v>2.7427802944507361E-3</v>
      </c>
      <c r="AH157" s="11">
        <v>0.21702910893509986</v>
      </c>
      <c r="AI157" s="11">
        <v>0.3945135928304378</v>
      </c>
      <c r="AK157" s="11">
        <f t="shared" si="50"/>
        <v>0.1098859446147753</v>
      </c>
      <c r="AL157" s="35" t="str">
        <f t="shared" si="43"/>
        <v>IoU 25</v>
      </c>
      <c r="AM157" s="35" t="str">
        <f t="shared" si="51"/>
        <v>IoU 50</v>
      </c>
    </row>
    <row r="158" spans="1:39" x14ac:dyDescent="0.2">
      <c r="A158" s="11">
        <v>0.30859246685888253</v>
      </c>
      <c r="C158" s="11">
        <v>0.23560476953601603</v>
      </c>
      <c r="E158" s="11" t="str">
        <f t="shared" si="41"/>
        <v>IoU 50</v>
      </c>
      <c r="G158" s="35" t="str">
        <f t="shared" si="54"/>
        <v>IoU 25</v>
      </c>
      <c r="I158" s="11">
        <v>0.44474219281899385</v>
      </c>
      <c r="J158" s="11">
        <v>0.27089843737102742</v>
      </c>
      <c r="K158" s="11">
        <v>0.43517327871703221</v>
      </c>
      <c r="M158" s="11">
        <f t="shared" si="44"/>
        <v>0.35782031509501067</v>
      </c>
      <c r="N158" s="35" t="str">
        <f t="shared" si="53"/>
        <v>IoU 50</v>
      </c>
      <c r="O158" s="35" t="str">
        <f t="shared" si="45"/>
        <v>IoU 50</v>
      </c>
      <c r="Q158" s="11">
        <v>0.55795230698418052</v>
      </c>
      <c r="R158" s="11">
        <v>0.71194008558932942</v>
      </c>
      <c r="S158" s="11">
        <v>0.46284345368799346</v>
      </c>
      <c r="U158" s="11">
        <f t="shared" si="46"/>
        <v>0.63494619628675497</v>
      </c>
      <c r="V158" s="35" t="str">
        <f t="shared" si="42"/>
        <v>IoU 75</v>
      </c>
      <c r="W158" s="35" t="str">
        <f t="shared" si="47"/>
        <v>IoU 50</v>
      </c>
      <c r="Y158" s="11">
        <v>1.1717931708679562E-2</v>
      </c>
      <c r="Z158" s="11">
        <v>0.3770262552654523</v>
      </c>
      <c r="AA158" s="11">
        <v>0.5674372013068697</v>
      </c>
      <c r="AC158" s="11">
        <f t="shared" si="48"/>
        <v>0.19437209348706594</v>
      </c>
      <c r="AD158" s="35" t="str">
        <f t="shared" si="55"/>
        <v>IoU 25</v>
      </c>
      <c r="AE158" s="35" t="str">
        <f t="shared" si="49"/>
        <v>IoU 75</v>
      </c>
      <c r="AG158" s="11">
        <v>0.40962617124438294</v>
      </c>
      <c r="AH158" s="11">
        <v>0.21347548399973387</v>
      </c>
      <c r="AI158" s="11">
        <v>0.30811600736002853</v>
      </c>
      <c r="AK158" s="11">
        <f t="shared" si="50"/>
        <v>0.31155082762205843</v>
      </c>
      <c r="AL158" s="35" t="str">
        <f t="shared" si="43"/>
        <v>IoU 50</v>
      </c>
      <c r="AM158" s="35" t="str">
        <f t="shared" si="51"/>
        <v>IoU 50</v>
      </c>
    </row>
    <row r="159" spans="1:39" x14ac:dyDescent="0.2">
      <c r="C159" s="11">
        <v>0.53457554109077599</v>
      </c>
      <c r="E159" s="11" t="str">
        <f t="shared" si="41"/>
        <v>IoU 25</v>
      </c>
      <c r="G159" s="35" t="str">
        <f t="shared" si="54"/>
        <v>IoU 75</v>
      </c>
      <c r="I159" s="11">
        <v>0.20503880049323636</v>
      </c>
      <c r="J159" s="11">
        <v>0.35044479097643766</v>
      </c>
      <c r="K159" s="11">
        <v>0.26179952255999306</v>
      </c>
      <c r="M159" s="11">
        <f t="shared" si="44"/>
        <v>0.27774179573483704</v>
      </c>
      <c r="N159" s="35" t="str">
        <f t="shared" si="53"/>
        <v>IoU 50</v>
      </c>
      <c r="O159" s="35" t="str">
        <f t="shared" si="45"/>
        <v>IoU 50</v>
      </c>
      <c r="R159" s="11">
        <v>0.25564824294892308</v>
      </c>
      <c r="S159" s="11">
        <v>0.34638416055814547</v>
      </c>
      <c r="U159" s="11">
        <v>0.25564824294892308</v>
      </c>
      <c r="V159" s="35" t="str">
        <f t="shared" si="42"/>
        <v>IoU 50</v>
      </c>
      <c r="W159" s="35" t="str">
        <f t="shared" si="47"/>
        <v>IoU 50</v>
      </c>
      <c r="Z159" s="11">
        <v>0.64251534043226199</v>
      </c>
      <c r="AA159" s="11">
        <v>0.53313513633817644</v>
      </c>
      <c r="AC159" s="11">
        <v>0.64251534043226199</v>
      </c>
      <c r="AD159" s="35" t="str">
        <f t="shared" si="55"/>
        <v>IoU 75</v>
      </c>
      <c r="AE159" s="35" t="str">
        <f t="shared" si="49"/>
        <v>IoU 75</v>
      </c>
      <c r="AG159" s="11">
        <v>3.0946232788297157E-2</v>
      </c>
      <c r="AH159" s="11">
        <v>0.40435267695352828</v>
      </c>
      <c r="AI159" s="11">
        <v>0.23916180982679303</v>
      </c>
      <c r="AK159" s="11">
        <f t="shared" si="50"/>
        <v>0.21764945487091272</v>
      </c>
      <c r="AL159" s="35" t="str">
        <f t="shared" si="43"/>
        <v>IoU 25</v>
      </c>
      <c r="AM159" s="35" t="str">
        <f t="shared" si="51"/>
        <v>IoU 25</v>
      </c>
    </row>
    <row r="160" spans="1:39" x14ac:dyDescent="0.2">
      <c r="C160" s="11">
        <v>0.2464509467067301</v>
      </c>
      <c r="E160" s="11" t="str">
        <f t="shared" si="41"/>
        <v>IoU 25</v>
      </c>
      <c r="G160" s="35" t="str">
        <f t="shared" si="54"/>
        <v>IoU 25</v>
      </c>
      <c r="I160" s="11">
        <v>5.5545063080758482E-2</v>
      </c>
      <c r="J160" s="11">
        <v>0.21972183153617753</v>
      </c>
      <c r="K160" s="11">
        <v>0.2820258731876405</v>
      </c>
      <c r="M160" s="11">
        <f t="shared" si="44"/>
        <v>0.13763344730846799</v>
      </c>
      <c r="N160" s="35" t="str">
        <f t="shared" si="53"/>
        <v>IoU 25</v>
      </c>
      <c r="O160" s="35" t="str">
        <f t="shared" si="45"/>
        <v>IoU 50</v>
      </c>
      <c r="Q160" s="11">
        <v>0.53567311058189027</v>
      </c>
      <c r="R160" s="11">
        <v>0.34992101823154909</v>
      </c>
      <c r="S160" s="11">
        <v>0.24175641607601089</v>
      </c>
      <c r="U160" s="11">
        <f t="shared" si="46"/>
        <v>0.44279706440671968</v>
      </c>
      <c r="V160" s="35" t="str">
        <f t="shared" si="42"/>
        <v>IoU 50</v>
      </c>
      <c r="W160" s="35" t="str">
        <f t="shared" si="47"/>
        <v>IoU 25</v>
      </c>
      <c r="Y160" s="11">
        <v>0.28961695411140043</v>
      </c>
      <c r="Z160" s="11">
        <v>0.79009745128891784</v>
      </c>
      <c r="AA160" s="11">
        <v>0.51377372316370318</v>
      </c>
      <c r="AC160" s="11">
        <f t="shared" si="48"/>
        <v>0.53985720270015913</v>
      </c>
      <c r="AD160" s="35" t="str">
        <f t="shared" si="55"/>
        <v>IoU 75</v>
      </c>
      <c r="AE160" s="35" t="str">
        <f t="shared" si="49"/>
        <v>IoU 75</v>
      </c>
      <c r="AG160" s="11">
        <v>0</v>
      </c>
      <c r="AH160" s="11">
        <v>0.40204917398067408</v>
      </c>
      <c r="AI160" s="11">
        <v>0.40629941708135875</v>
      </c>
      <c r="AK160" s="11">
        <f t="shared" si="50"/>
        <v>0.20102458699033704</v>
      </c>
      <c r="AL160" s="35" t="str">
        <f t="shared" si="43"/>
        <v>IoU 25</v>
      </c>
      <c r="AM160" s="35" t="str">
        <f t="shared" si="51"/>
        <v>IoU 50</v>
      </c>
    </row>
    <row r="161" spans="1:39" x14ac:dyDescent="0.2">
      <c r="A161" s="11">
        <v>0</v>
      </c>
      <c r="C161" s="11">
        <v>0.22764233291262015</v>
      </c>
      <c r="E161" s="11" t="str">
        <f t="shared" si="41"/>
        <v>IoU 25</v>
      </c>
      <c r="G161" s="35" t="str">
        <f t="shared" si="54"/>
        <v>IoU 25</v>
      </c>
      <c r="I161" s="11">
        <v>0.13949172762181927</v>
      </c>
      <c r="J161" s="11">
        <v>0.70870212375384734</v>
      </c>
      <c r="K161" s="11">
        <v>0.3702441811029975</v>
      </c>
      <c r="M161" s="11">
        <f t="shared" si="44"/>
        <v>0.4240969256878333</v>
      </c>
      <c r="N161" s="35" t="str">
        <f t="shared" si="53"/>
        <v>IoU 50</v>
      </c>
      <c r="O161" s="35" t="str">
        <f t="shared" si="45"/>
        <v>IoU 50</v>
      </c>
      <c r="Q161" s="11">
        <v>0.5609109744426739</v>
      </c>
      <c r="R161" s="11">
        <v>0.15888054618593636</v>
      </c>
      <c r="S161" s="11">
        <v>0.48965429970806668</v>
      </c>
      <c r="U161" s="11">
        <f t="shared" si="46"/>
        <v>0.35989576031430515</v>
      </c>
      <c r="V161" s="35" t="str">
        <f t="shared" si="42"/>
        <v>IoU 50</v>
      </c>
      <c r="W161" s="35" t="str">
        <f t="shared" si="47"/>
        <v>IoU 50</v>
      </c>
      <c r="Y161" s="11">
        <v>0.48887406094090291</v>
      </c>
      <c r="Z161" s="11">
        <v>0.43450557137881585</v>
      </c>
      <c r="AA161" s="11">
        <v>0.35981855159826909</v>
      </c>
      <c r="AC161" s="11">
        <f t="shared" si="48"/>
        <v>0.46168981615985938</v>
      </c>
      <c r="AD161" s="35" t="str">
        <f t="shared" si="55"/>
        <v>IoU 50</v>
      </c>
      <c r="AE161" s="35" t="str">
        <f t="shared" si="49"/>
        <v>IoU 50</v>
      </c>
      <c r="AG161" s="11">
        <v>0.21533668675940115</v>
      </c>
      <c r="AH161" s="11">
        <v>0.41599241525556691</v>
      </c>
      <c r="AI161" s="11">
        <v>0.29961789476454143</v>
      </c>
      <c r="AK161" s="11">
        <f t="shared" si="50"/>
        <v>0.31566455100748403</v>
      </c>
      <c r="AL161" s="35" t="str">
        <f t="shared" si="43"/>
        <v>IoU 50</v>
      </c>
      <c r="AM161" s="35" t="str">
        <f t="shared" si="51"/>
        <v>IoU 50</v>
      </c>
    </row>
    <row r="162" spans="1:39" x14ac:dyDescent="0.2">
      <c r="A162" s="11">
        <v>0.5513851393066701</v>
      </c>
      <c r="C162" s="11">
        <v>0.53451303228256686</v>
      </c>
      <c r="E162" s="11" t="str">
        <f t="shared" si="41"/>
        <v>IoU 75</v>
      </c>
      <c r="G162" s="35" t="str">
        <f t="shared" si="54"/>
        <v>IoU 75</v>
      </c>
      <c r="I162" s="11">
        <v>9.8329389326457808E-2</v>
      </c>
      <c r="J162" s="11">
        <v>0.21563959639751232</v>
      </c>
      <c r="K162" s="11">
        <v>0.52413494305896358</v>
      </c>
      <c r="M162" s="11">
        <f t="shared" si="44"/>
        <v>0.15698449286198507</v>
      </c>
      <c r="N162" s="35" t="str">
        <f t="shared" si="53"/>
        <v>IoU 25</v>
      </c>
      <c r="O162" s="35" t="str">
        <f t="shared" si="45"/>
        <v>IoU 75</v>
      </c>
      <c r="Q162" s="11">
        <v>0.5549478474088686</v>
      </c>
      <c r="R162" s="11">
        <v>0.45322662423676929</v>
      </c>
      <c r="S162" s="11">
        <v>0.55303356556847727</v>
      </c>
      <c r="U162" s="11">
        <f t="shared" si="46"/>
        <v>0.504087235822819</v>
      </c>
      <c r="V162" s="35" t="str">
        <f t="shared" si="42"/>
        <v>IoU 75</v>
      </c>
      <c r="W162" s="35" t="str">
        <f t="shared" si="47"/>
        <v>IoU 75</v>
      </c>
      <c r="Y162" s="11">
        <v>6.6463858210435822E-2</v>
      </c>
      <c r="AA162" s="11">
        <v>0.38414485204791338</v>
      </c>
      <c r="AC162" s="11">
        <v>6.6463858210435822E-2</v>
      </c>
      <c r="AD162" s="35" t="str">
        <f t="shared" si="55"/>
        <v>IoU 25</v>
      </c>
      <c r="AE162" s="35" t="str">
        <f t="shared" si="49"/>
        <v>IoU 50</v>
      </c>
      <c r="AG162" s="11">
        <v>0.17388838475499094</v>
      </c>
      <c r="AH162" s="11">
        <v>0.52022946318639829</v>
      </c>
      <c r="AI162" s="11">
        <v>0.12988523234081956</v>
      </c>
      <c r="AK162" s="11">
        <f t="shared" si="50"/>
        <v>0.3470589239706946</v>
      </c>
      <c r="AL162" s="35" t="str">
        <f t="shared" si="43"/>
        <v>IoU 50</v>
      </c>
      <c r="AM162" s="35" t="str">
        <f t="shared" si="51"/>
        <v>IoU 25</v>
      </c>
    </row>
    <row r="163" spans="1:39" x14ac:dyDescent="0.2">
      <c r="A163" s="11">
        <v>0.60489452153773104</v>
      </c>
      <c r="C163" s="11">
        <v>0.27463713253516847</v>
      </c>
      <c r="E163" s="11" t="str">
        <f t="shared" si="41"/>
        <v>IoU 75</v>
      </c>
      <c r="G163" s="35" t="str">
        <f t="shared" si="54"/>
        <v>IoU 50</v>
      </c>
      <c r="I163" s="11">
        <v>7.4053624313331137E-2</v>
      </c>
      <c r="J163" s="11">
        <v>0.65141434679916155</v>
      </c>
      <c r="K163" s="11">
        <v>0.63066743800103298</v>
      </c>
      <c r="M163" s="11">
        <f t="shared" si="44"/>
        <v>0.36273398555624636</v>
      </c>
      <c r="N163" s="35" t="str">
        <f t="shared" si="53"/>
        <v>IoU 50</v>
      </c>
      <c r="O163" s="35" t="str">
        <f t="shared" si="45"/>
        <v>IoU 75</v>
      </c>
      <c r="Q163" s="11">
        <v>0.39540450271771721</v>
      </c>
      <c r="R163" s="11">
        <v>0.80913605879592287</v>
      </c>
      <c r="S163" s="11">
        <v>0.38756567222977995</v>
      </c>
      <c r="U163" s="11">
        <f t="shared" si="46"/>
        <v>0.6022702807568201</v>
      </c>
      <c r="V163" s="35" t="str">
        <f t="shared" si="42"/>
        <v>IoU 75</v>
      </c>
      <c r="W163" s="35" t="str">
        <f t="shared" si="47"/>
        <v>IoU 50</v>
      </c>
      <c r="Y163" s="11">
        <v>0.46218533029186626</v>
      </c>
      <c r="Z163" s="11">
        <v>0.23026734397493595</v>
      </c>
      <c r="AA163" s="11">
        <v>0.42689021661055548</v>
      </c>
      <c r="AC163" s="11">
        <f t="shared" si="48"/>
        <v>0.34622633713340112</v>
      </c>
      <c r="AD163" s="35" t="str">
        <f t="shared" si="55"/>
        <v>IoU 50</v>
      </c>
      <c r="AE163" s="35" t="str">
        <f t="shared" si="49"/>
        <v>IoU 50</v>
      </c>
      <c r="AG163" s="11">
        <v>0.18090879301870361</v>
      </c>
      <c r="AH163" s="11">
        <v>0.41077044954393732</v>
      </c>
      <c r="AI163" s="11">
        <v>0.38622827117376762</v>
      </c>
      <c r="AK163" s="11">
        <f t="shared" si="50"/>
        <v>0.29583962128132046</v>
      </c>
      <c r="AL163" s="35" t="str">
        <f t="shared" si="43"/>
        <v>IoU 50</v>
      </c>
      <c r="AM163" s="35" t="str">
        <f t="shared" si="51"/>
        <v>IoU 50</v>
      </c>
    </row>
    <row r="164" spans="1:39" x14ac:dyDescent="0.2">
      <c r="C164" s="11">
        <v>0.2920216463356734</v>
      </c>
      <c r="E164" s="11" t="str">
        <f t="shared" si="41"/>
        <v>IoU 25</v>
      </c>
      <c r="G164" s="35" t="str">
        <f t="shared" si="54"/>
        <v>IoU 50</v>
      </c>
      <c r="I164" s="11">
        <v>0.14248368244482054</v>
      </c>
      <c r="J164" s="11">
        <v>0.20858440362949046</v>
      </c>
      <c r="K164" s="11">
        <v>0.45502378572815427</v>
      </c>
      <c r="M164" s="11">
        <f t="shared" si="44"/>
        <v>0.1755340430371555</v>
      </c>
      <c r="N164" s="35" t="str">
        <f t="shared" si="53"/>
        <v>IoU 25</v>
      </c>
      <c r="O164" s="35" t="str">
        <f t="shared" si="45"/>
        <v>IoU 50</v>
      </c>
      <c r="Q164" s="11">
        <v>0.57117166182596424</v>
      </c>
      <c r="R164" s="11">
        <v>0.81813917264561509</v>
      </c>
      <c r="S164" s="11">
        <v>0.57776874349184471</v>
      </c>
      <c r="U164" s="11">
        <f t="shared" si="46"/>
        <v>0.69465541723578972</v>
      </c>
      <c r="V164" s="35" t="str">
        <f t="shared" si="42"/>
        <v>IoU 75</v>
      </c>
      <c r="W164" s="35" t="str">
        <f t="shared" si="47"/>
        <v>IoU 75</v>
      </c>
      <c r="Y164" s="11">
        <v>0.25524472175404878</v>
      </c>
      <c r="Z164" s="11">
        <v>0.79985388266017876</v>
      </c>
      <c r="AA164" s="11">
        <v>0.34806581835432937</v>
      </c>
      <c r="AC164" s="11">
        <f t="shared" si="48"/>
        <v>0.52754930220711382</v>
      </c>
      <c r="AD164" s="35" t="str">
        <f t="shared" si="55"/>
        <v>IoU 75</v>
      </c>
      <c r="AE164" s="35" t="str">
        <f t="shared" si="49"/>
        <v>IoU 50</v>
      </c>
      <c r="AG164" s="11">
        <v>0</v>
      </c>
      <c r="AH164" s="11">
        <v>0.38180542161228004</v>
      </c>
      <c r="AI164" s="11">
        <v>0</v>
      </c>
      <c r="AK164" s="11">
        <f t="shared" si="50"/>
        <v>0.19090271080614002</v>
      </c>
      <c r="AL164" s="35" t="str">
        <f t="shared" si="43"/>
        <v>IoU 25</v>
      </c>
      <c r="AM164" s="35" t="str">
        <f t="shared" si="51"/>
        <v>IoU 25</v>
      </c>
    </row>
    <row r="165" spans="1:39" x14ac:dyDescent="0.2">
      <c r="A165" s="11">
        <v>0.54800900728164781</v>
      </c>
      <c r="C165" s="11">
        <v>0.377949038130382</v>
      </c>
      <c r="E165" s="11" t="str">
        <f t="shared" si="41"/>
        <v>IoU 75</v>
      </c>
      <c r="G165" s="35" t="str">
        <f t="shared" si="54"/>
        <v>IoU 50</v>
      </c>
      <c r="I165" s="11">
        <v>0.34897220092223591</v>
      </c>
      <c r="J165" s="11">
        <v>0.65430369683215084</v>
      </c>
      <c r="K165" s="11">
        <v>0.40390699577341599</v>
      </c>
      <c r="M165" s="11">
        <f t="shared" si="44"/>
        <v>0.50163794887719337</v>
      </c>
      <c r="N165" s="35" t="str">
        <f t="shared" si="53"/>
        <v>IoU 75</v>
      </c>
      <c r="O165" s="35" t="str">
        <f t="shared" si="45"/>
        <v>IoU 50</v>
      </c>
      <c r="Q165" s="11">
        <v>0.33264900612432025</v>
      </c>
      <c r="R165" s="11">
        <v>0.44020376027421243</v>
      </c>
      <c r="S165" s="11">
        <v>0.50709085133115384</v>
      </c>
      <c r="U165" s="11">
        <f t="shared" si="46"/>
        <v>0.38642638319926637</v>
      </c>
      <c r="V165" s="35" t="str">
        <f t="shared" si="42"/>
        <v>IoU 50</v>
      </c>
      <c r="W165" s="35" t="str">
        <f t="shared" si="47"/>
        <v>IoU 75</v>
      </c>
      <c r="Y165" s="11">
        <v>0.40904942168423897</v>
      </c>
      <c r="Z165" s="11">
        <v>0.41295285023526651</v>
      </c>
      <c r="AA165" s="11">
        <v>0.29732075744720199</v>
      </c>
      <c r="AC165" s="11">
        <f t="shared" si="48"/>
        <v>0.41100113595975274</v>
      </c>
      <c r="AD165" s="35" t="str">
        <f t="shared" si="55"/>
        <v>IoU 50</v>
      </c>
      <c r="AE165" s="35" t="str">
        <f t="shared" si="49"/>
        <v>IoU 50</v>
      </c>
      <c r="AG165" s="11">
        <v>0.42774560340510004</v>
      </c>
      <c r="AH165" s="11">
        <v>0.42256292279618751</v>
      </c>
      <c r="AI165" s="11">
        <v>0.30779340826424806</v>
      </c>
      <c r="AK165" s="11">
        <f t="shared" si="50"/>
        <v>0.42515426310064375</v>
      </c>
      <c r="AL165" s="35" t="str">
        <f t="shared" si="43"/>
        <v>IoU 50</v>
      </c>
      <c r="AM165" s="35" t="str">
        <f t="shared" si="51"/>
        <v>IoU 50</v>
      </c>
    </row>
    <row r="166" spans="1:39" x14ac:dyDescent="0.2">
      <c r="A166" s="11">
        <v>0.55710612647744229</v>
      </c>
      <c r="C166" s="11">
        <v>0.12361287223513107</v>
      </c>
      <c r="E166" s="11" t="str">
        <f t="shared" si="41"/>
        <v>IoU 75</v>
      </c>
      <c r="G166" s="35" t="str">
        <f t="shared" si="54"/>
        <v>IoU 25</v>
      </c>
      <c r="I166" s="11">
        <v>0.17869753365014468</v>
      </c>
      <c r="J166" s="11">
        <v>0.41717928469403054</v>
      </c>
      <c r="K166" s="11">
        <v>0.34156188318625014</v>
      </c>
      <c r="M166" s="11">
        <f t="shared" si="44"/>
        <v>0.29793840917208758</v>
      </c>
      <c r="N166" s="35" t="str">
        <f t="shared" si="53"/>
        <v>IoU 50</v>
      </c>
      <c r="O166" s="35" t="str">
        <f t="shared" si="45"/>
        <v>IoU 50</v>
      </c>
      <c r="Q166" s="11">
        <v>0.39002100076921298</v>
      </c>
      <c r="R166" s="11">
        <v>0.70997842064817773</v>
      </c>
      <c r="S166" s="11">
        <v>0.50521053024026008</v>
      </c>
      <c r="U166" s="11">
        <f t="shared" si="46"/>
        <v>0.54999971070869536</v>
      </c>
      <c r="V166" s="35" t="str">
        <f t="shared" si="42"/>
        <v>IoU 75</v>
      </c>
      <c r="W166" s="35" t="str">
        <f t="shared" si="47"/>
        <v>IoU 75</v>
      </c>
      <c r="Y166" s="11">
        <v>0.63014661488999257</v>
      </c>
      <c r="AA166" s="11">
        <v>0.43035968991735074</v>
      </c>
      <c r="AC166" s="11">
        <v>0.63014661488999257</v>
      </c>
      <c r="AD166" s="35" t="str">
        <f t="shared" si="55"/>
        <v>IoU 75</v>
      </c>
      <c r="AE166" s="35" t="str">
        <f t="shared" si="49"/>
        <v>IoU 50</v>
      </c>
      <c r="AG166" s="11">
        <v>5.9141064152514647E-2</v>
      </c>
      <c r="AH166" s="11">
        <v>0.39943691106242574</v>
      </c>
      <c r="AI166" s="11">
        <v>0.38492860278337299</v>
      </c>
      <c r="AK166" s="11">
        <f t="shared" si="50"/>
        <v>0.22928898760747018</v>
      </c>
      <c r="AL166" s="35" t="str">
        <f t="shared" si="43"/>
        <v>IoU 25</v>
      </c>
      <c r="AM166" s="35" t="str">
        <f t="shared" si="51"/>
        <v>IoU 50</v>
      </c>
    </row>
    <row r="167" spans="1:39" x14ac:dyDescent="0.2">
      <c r="A167" s="11">
        <v>0.75998196912782812</v>
      </c>
      <c r="C167" s="11">
        <v>0.37769938997375663</v>
      </c>
      <c r="E167" s="11" t="str">
        <f t="shared" si="41"/>
        <v>IoU 100</v>
      </c>
      <c r="G167" s="35" t="str">
        <f t="shared" si="54"/>
        <v>IoU 50</v>
      </c>
      <c r="I167" s="11">
        <v>0.290531747911633</v>
      </c>
      <c r="J167" s="11">
        <v>0.4638049714822523</v>
      </c>
      <c r="K167" s="11">
        <v>0.56935209002469789</v>
      </c>
      <c r="M167" s="11">
        <f t="shared" si="44"/>
        <v>0.37716835969694262</v>
      </c>
      <c r="N167" s="35" t="str">
        <f t="shared" si="53"/>
        <v>IoU 50</v>
      </c>
      <c r="O167" s="35" t="str">
        <f t="shared" si="45"/>
        <v>IoU 75</v>
      </c>
      <c r="Q167" s="11">
        <v>0.23474887687212198</v>
      </c>
      <c r="R167" s="11">
        <v>0.40088348290785247</v>
      </c>
      <c r="S167" s="11">
        <v>0.31239056095047929</v>
      </c>
      <c r="U167" s="11">
        <f t="shared" si="46"/>
        <v>0.31781617988998723</v>
      </c>
      <c r="V167" s="35" t="str">
        <f t="shared" si="42"/>
        <v>IoU 50</v>
      </c>
      <c r="W167" s="35" t="str">
        <f t="shared" si="47"/>
        <v>IoU 50</v>
      </c>
      <c r="Y167" s="11">
        <v>0.46769451330981815</v>
      </c>
      <c r="Z167" s="11">
        <v>0.4478057731288631</v>
      </c>
      <c r="AA167" s="11">
        <v>0.37238851259961081</v>
      </c>
      <c r="AC167" s="11">
        <f t="shared" si="48"/>
        <v>0.4577501432193406</v>
      </c>
      <c r="AD167" s="35" t="str">
        <f t="shared" si="55"/>
        <v>IoU 50</v>
      </c>
      <c r="AE167" s="35" t="str">
        <f t="shared" si="49"/>
        <v>IoU 50</v>
      </c>
      <c r="AG167" s="11">
        <v>0</v>
      </c>
      <c r="AH167" s="11">
        <v>0.23518949119374555</v>
      </c>
      <c r="AI167" s="11">
        <v>0.33079698572100158</v>
      </c>
      <c r="AK167" s="11">
        <f t="shared" si="50"/>
        <v>0.11759474559687277</v>
      </c>
      <c r="AL167" s="35" t="str">
        <f t="shared" si="43"/>
        <v>IoU 25</v>
      </c>
      <c r="AM167" s="35" t="str">
        <f t="shared" si="51"/>
        <v>IoU 50</v>
      </c>
    </row>
    <row r="168" spans="1:39" x14ac:dyDescent="0.2">
      <c r="A168" s="11">
        <v>0.36873324443589078</v>
      </c>
      <c r="C168" s="11">
        <v>0.30461226965966226</v>
      </c>
      <c r="E168" s="11" t="str">
        <f t="shared" si="41"/>
        <v>IoU 50</v>
      </c>
      <c r="G168" s="35" t="str">
        <f t="shared" si="54"/>
        <v>IoU 50</v>
      </c>
      <c r="I168" s="11">
        <v>2.1397035596465889E-2</v>
      </c>
      <c r="J168" s="11">
        <v>0.1427522181091721</v>
      </c>
      <c r="K168" s="11">
        <v>0.34607220384926235</v>
      </c>
      <c r="M168" s="11">
        <f t="shared" si="44"/>
        <v>8.2074626852818994E-2</v>
      </c>
      <c r="N168" s="35" t="str">
        <f t="shared" si="53"/>
        <v>IoU 25</v>
      </c>
      <c r="O168" s="35" t="str">
        <f t="shared" si="45"/>
        <v>IoU 50</v>
      </c>
      <c r="Q168" s="11">
        <v>0.39401592831043408</v>
      </c>
      <c r="R168" s="11">
        <v>0.20036226411043478</v>
      </c>
      <c r="S168" s="11">
        <v>0.43352272677987574</v>
      </c>
      <c r="U168" s="11">
        <f t="shared" si="46"/>
        <v>0.29718909621043443</v>
      </c>
      <c r="V168" s="35" t="str">
        <f t="shared" si="42"/>
        <v>IoU 50</v>
      </c>
      <c r="W168" s="35" t="str">
        <f t="shared" si="47"/>
        <v>IoU 50</v>
      </c>
      <c r="Y168" s="11">
        <v>0.33660034887630308</v>
      </c>
      <c r="Z168" s="11">
        <v>0.4016547395436153</v>
      </c>
      <c r="AA168" s="11">
        <v>0.52071154884661575</v>
      </c>
      <c r="AC168" s="11">
        <f t="shared" si="48"/>
        <v>0.36912754420995919</v>
      </c>
      <c r="AD168" s="35" t="str">
        <f t="shared" si="55"/>
        <v>IoU 50</v>
      </c>
      <c r="AE168" s="35" t="str">
        <f t="shared" si="49"/>
        <v>IoU 75</v>
      </c>
      <c r="AG168" s="11">
        <v>0</v>
      </c>
      <c r="AH168" s="11">
        <v>0.38025316034532453</v>
      </c>
      <c r="AI168" s="11">
        <v>0.35042728478630469</v>
      </c>
      <c r="AK168" s="11">
        <f t="shared" si="50"/>
        <v>0.19012658017266226</v>
      </c>
      <c r="AL168" s="35" t="str">
        <f t="shared" si="43"/>
        <v>IoU 25</v>
      </c>
      <c r="AM168" s="35" t="str">
        <f t="shared" si="51"/>
        <v>IoU 50</v>
      </c>
    </row>
    <row r="169" spans="1:39" x14ac:dyDescent="0.2">
      <c r="A169" s="11">
        <v>0</v>
      </c>
      <c r="C169" s="11">
        <v>0.18968103817940443</v>
      </c>
      <c r="E169" s="11" t="str">
        <f t="shared" si="41"/>
        <v>IoU 25</v>
      </c>
      <c r="G169" s="35" t="str">
        <f t="shared" si="54"/>
        <v>IoU 25</v>
      </c>
      <c r="I169" s="11">
        <v>0.49402835048540594</v>
      </c>
      <c r="J169" s="11">
        <v>0.63440141637198899</v>
      </c>
      <c r="K169" s="11">
        <v>0.41364855931670924</v>
      </c>
      <c r="M169" s="11">
        <f t="shared" si="44"/>
        <v>0.56421488342869752</v>
      </c>
      <c r="N169" s="35" t="str">
        <f t="shared" si="53"/>
        <v>IoU 75</v>
      </c>
      <c r="O169" s="35" t="str">
        <f t="shared" si="45"/>
        <v>IoU 50</v>
      </c>
      <c r="Q169" s="11">
        <v>7.5138764554323785E-3</v>
      </c>
      <c r="R169" s="11">
        <v>0.23492415385822829</v>
      </c>
      <c r="S169" s="11">
        <v>0.32247377459749921</v>
      </c>
      <c r="U169" s="11">
        <f t="shared" si="46"/>
        <v>0.12121901515683034</v>
      </c>
      <c r="V169" s="35" t="str">
        <f t="shared" si="42"/>
        <v>IoU 25</v>
      </c>
      <c r="W169" s="35" t="str">
        <f t="shared" si="47"/>
        <v>IoU 50</v>
      </c>
      <c r="Y169" s="11">
        <v>7.4999440302684307E-3</v>
      </c>
      <c r="Z169" s="11">
        <v>0.77665902299066158</v>
      </c>
      <c r="AA169" s="11">
        <v>0.2198284984226469</v>
      </c>
      <c r="AC169" s="11">
        <f t="shared" si="48"/>
        <v>0.39207948351046501</v>
      </c>
      <c r="AD169" s="35" t="str">
        <f t="shared" si="55"/>
        <v>IoU 50</v>
      </c>
      <c r="AE169" s="35" t="str">
        <f t="shared" si="49"/>
        <v>IoU 25</v>
      </c>
      <c r="AG169" s="11">
        <v>0.20644095788604458</v>
      </c>
      <c r="AH169" s="11">
        <v>0.81522096168925584</v>
      </c>
      <c r="AI169" s="11">
        <v>0.44693959779628661</v>
      </c>
      <c r="AK169" s="11">
        <f t="shared" si="50"/>
        <v>0.51083095978765025</v>
      </c>
      <c r="AL169" s="35" t="str">
        <f t="shared" si="43"/>
        <v>IoU 75</v>
      </c>
      <c r="AM169" s="35" t="str">
        <f t="shared" si="51"/>
        <v>IoU 50</v>
      </c>
    </row>
    <row r="170" spans="1:39" x14ac:dyDescent="0.2">
      <c r="A170" s="11">
        <v>0.12651501443528787</v>
      </c>
      <c r="C170" s="11">
        <v>0.47883315140714539</v>
      </c>
      <c r="E170" s="11" t="str">
        <f t="shared" si="41"/>
        <v>IoU 25</v>
      </c>
      <c r="G170" s="35" t="str">
        <f t="shared" si="54"/>
        <v>IoU 50</v>
      </c>
      <c r="I170" s="11">
        <v>0.37583378447406157</v>
      </c>
      <c r="J170" s="11">
        <v>0.60164947886196185</v>
      </c>
      <c r="K170" s="11">
        <v>0.34933955728430532</v>
      </c>
      <c r="M170" s="11">
        <f t="shared" si="44"/>
        <v>0.48874163166801171</v>
      </c>
      <c r="N170" s="35" t="str">
        <f t="shared" si="53"/>
        <v>IoU 50</v>
      </c>
      <c r="O170" s="35" t="str">
        <f t="shared" si="45"/>
        <v>IoU 50</v>
      </c>
      <c r="Q170" s="11">
        <v>0.54702432255142108</v>
      </c>
      <c r="R170" s="11">
        <v>0.75985655288043996</v>
      </c>
      <c r="S170" s="11">
        <v>0.57817172582786669</v>
      </c>
      <c r="U170" s="11">
        <f t="shared" si="46"/>
        <v>0.65344043771593052</v>
      </c>
      <c r="V170" s="35" t="str">
        <f t="shared" si="42"/>
        <v>IoU 75</v>
      </c>
      <c r="W170" s="35" t="str">
        <f t="shared" si="47"/>
        <v>IoU 75</v>
      </c>
      <c r="Z170" s="11">
        <v>0.75495977144545101</v>
      </c>
      <c r="AA170" s="11">
        <v>0.13264696576306503</v>
      </c>
      <c r="AC170" s="11">
        <v>0.75495977144545101</v>
      </c>
      <c r="AD170" s="35" t="str">
        <f t="shared" si="55"/>
        <v>IoU 100</v>
      </c>
      <c r="AE170" s="35" t="str">
        <f t="shared" si="49"/>
        <v>IoU 25</v>
      </c>
      <c r="AG170" s="11">
        <v>0.19015136427006574</v>
      </c>
      <c r="AH170" s="11">
        <v>0.27532016764643341</v>
      </c>
      <c r="AI170" s="11">
        <v>0.23102125964091949</v>
      </c>
      <c r="AK170" s="11">
        <f t="shared" si="50"/>
        <v>0.23273576595824957</v>
      </c>
      <c r="AL170" s="35" t="str">
        <f t="shared" si="43"/>
        <v>IoU 25</v>
      </c>
      <c r="AM170" s="35" t="str">
        <f t="shared" si="51"/>
        <v>IoU 25</v>
      </c>
    </row>
    <row r="171" spans="1:39" x14ac:dyDescent="0.2">
      <c r="A171" s="11">
        <v>0.49260550076856779</v>
      </c>
      <c r="C171" s="11">
        <v>0.38503090215001445</v>
      </c>
      <c r="E171" s="11" t="str">
        <f t="shared" si="41"/>
        <v>IoU 50</v>
      </c>
      <c r="G171" s="35" t="str">
        <f t="shared" si="54"/>
        <v>IoU 50</v>
      </c>
      <c r="I171" s="11">
        <v>0.1049099261591136</v>
      </c>
      <c r="J171" s="11">
        <v>0.41972254416073274</v>
      </c>
      <c r="K171" s="11">
        <v>0.35482121137509437</v>
      </c>
      <c r="M171" s="11">
        <f t="shared" si="44"/>
        <v>0.26231623515992319</v>
      </c>
      <c r="N171" s="35" t="str">
        <f t="shared" si="53"/>
        <v>IoU 50</v>
      </c>
      <c r="O171" s="35" t="str">
        <f t="shared" si="45"/>
        <v>IoU 50</v>
      </c>
      <c r="Q171" s="11">
        <v>0.20640736662718823</v>
      </c>
      <c r="R171" s="11">
        <v>0.20925736024752511</v>
      </c>
      <c r="S171" s="11">
        <v>0.54746084806536754</v>
      </c>
      <c r="U171" s="11">
        <f t="shared" si="46"/>
        <v>0.20783236343735667</v>
      </c>
      <c r="V171" s="35" t="str">
        <f t="shared" si="42"/>
        <v>IoU 25</v>
      </c>
      <c r="W171" s="35" t="str">
        <f t="shared" si="47"/>
        <v>IoU 75</v>
      </c>
      <c r="Y171" s="11">
        <v>0.20590213839790802</v>
      </c>
      <c r="Z171" s="11">
        <v>5.679222449790855E-2</v>
      </c>
      <c r="AA171" s="11">
        <v>0.33379319877873875</v>
      </c>
      <c r="AC171" s="11">
        <f t="shared" si="48"/>
        <v>0.1313471814479083</v>
      </c>
      <c r="AD171" s="35" t="str">
        <f t="shared" si="55"/>
        <v>IoU 25</v>
      </c>
      <c r="AE171" s="35" t="str">
        <f t="shared" si="49"/>
        <v>IoU 50</v>
      </c>
      <c r="AG171" s="11">
        <v>0.16652049989037493</v>
      </c>
      <c r="AH171" s="11">
        <v>0.57321955007929937</v>
      </c>
      <c r="AI171" s="11">
        <v>0.58779568997447917</v>
      </c>
      <c r="AK171" s="11">
        <f t="shared" si="50"/>
        <v>0.36987002498483712</v>
      </c>
      <c r="AL171" s="35" t="str">
        <f t="shared" si="43"/>
        <v>IoU 50</v>
      </c>
      <c r="AM171" s="35" t="str">
        <f t="shared" si="51"/>
        <v>IoU 75</v>
      </c>
    </row>
    <row r="172" spans="1:39" x14ac:dyDescent="0.2">
      <c r="A172" s="11">
        <v>0.437206211771136</v>
      </c>
      <c r="C172" s="11">
        <v>0.38244259829482685</v>
      </c>
      <c r="E172" s="11" t="str">
        <f t="shared" si="41"/>
        <v>IoU 50</v>
      </c>
      <c r="G172" s="35" t="str">
        <f t="shared" si="54"/>
        <v>IoU 50</v>
      </c>
      <c r="I172" s="11">
        <v>0.22735459192503366</v>
      </c>
      <c r="J172" s="11">
        <v>0.46620376112497763</v>
      </c>
      <c r="K172" s="11">
        <v>9.0599396785811151E-2</v>
      </c>
      <c r="M172" s="11">
        <f t="shared" si="44"/>
        <v>0.34677917652500567</v>
      </c>
      <c r="N172" s="35" t="str">
        <f t="shared" si="53"/>
        <v>IoU 50</v>
      </c>
      <c r="O172" s="35" t="str">
        <f t="shared" si="45"/>
        <v>IoU 25</v>
      </c>
      <c r="Q172" s="11">
        <v>0.53614248549629329</v>
      </c>
      <c r="R172" s="11">
        <v>0.84113079831918802</v>
      </c>
      <c r="S172" s="11">
        <v>0.27840410759666467</v>
      </c>
      <c r="U172" s="11">
        <f t="shared" si="46"/>
        <v>0.68863664190774065</v>
      </c>
      <c r="V172" s="35" t="str">
        <f t="shared" si="42"/>
        <v>IoU 75</v>
      </c>
      <c r="W172" s="35" t="str">
        <f t="shared" si="47"/>
        <v>IoU 50</v>
      </c>
      <c r="Z172" s="11">
        <v>0.41811953146940761</v>
      </c>
      <c r="AA172" s="11">
        <v>0.33994984615878704</v>
      </c>
      <c r="AC172" s="11">
        <v>0.41811953146940761</v>
      </c>
      <c r="AD172" s="35" t="str">
        <f t="shared" si="55"/>
        <v>IoU 50</v>
      </c>
      <c r="AE172" s="35" t="str">
        <f t="shared" si="49"/>
        <v>IoU 50</v>
      </c>
      <c r="AG172" s="11">
        <v>0.47120146791836437</v>
      </c>
      <c r="AH172" s="11">
        <v>0.4387200850217241</v>
      </c>
      <c r="AI172" s="11">
        <v>0.35180655045290132</v>
      </c>
      <c r="AK172" s="11">
        <f t="shared" si="50"/>
        <v>0.45496077647004424</v>
      </c>
      <c r="AL172" s="35" t="str">
        <f t="shared" si="43"/>
        <v>IoU 50</v>
      </c>
      <c r="AM172" s="35" t="str">
        <f t="shared" si="51"/>
        <v>IoU 50</v>
      </c>
    </row>
    <row r="173" spans="1:39" x14ac:dyDescent="0.2">
      <c r="A173" s="11">
        <v>0.4201286285520246</v>
      </c>
      <c r="C173" s="11">
        <v>0.59694832934816155</v>
      </c>
      <c r="E173" s="11" t="str">
        <f t="shared" si="41"/>
        <v>IoU 50</v>
      </c>
      <c r="G173" s="35" t="str">
        <f t="shared" si="54"/>
        <v>IoU 75</v>
      </c>
      <c r="I173" s="11">
        <v>0.38850012990032312</v>
      </c>
      <c r="J173" s="11">
        <v>0.50110194164017829</v>
      </c>
      <c r="K173" s="11">
        <v>0.21705473306249126</v>
      </c>
      <c r="M173" s="11">
        <f t="shared" si="44"/>
        <v>0.44480103577025071</v>
      </c>
      <c r="N173" s="35" t="str">
        <f t="shared" si="53"/>
        <v>IoU 50</v>
      </c>
      <c r="O173" s="35" t="str">
        <f t="shared" si="45"/>
        <v>IoU 25</v>
      </c>
      <c r="Q173" s="11">
        <v>0.10290394182630323</v>
      </c>
      <c r="R173" s="11">
        <v>0.38458835367661348</v>
      </c>
      <c r="S173" s="11">
        <v>0.29131659881899019</v>
      </c>
      <c r="U173" s="11">
        <f t="shared" si="46"/>
        <v>0.24374614775145836</v>
      </c>
      <c r="V173" s="35" t="str">
        <f t="shared" si="42"/>
        <v>IoU 25</v>
      </c>
      <c r="W173" s="35" t="str">
        <f t="shared" si="47"/>
        <v>IoU 50</v>
      </c>
      <c r="Y173" s="11">
        <v>0.21909225723662293</v>
      </c>
      <c r="Z173" s="11">
        <v>0.58581091134920271</v>
      </c>
      <c r="AA173" s="11">
        <v>0.47629462144525764</v>
      </c>
      <c r="AC173" s="11">
        <f t="shared" si="48"/>
        <v>0.40245158429291283</v>
      </c>
      <c r="AD173" s="35" t="str">
        <f t="shared" si="55"/>
        <v>IoU 50</v>
      </c>
      <c r="AE173" s="35" t="str">
        <f t="shared" si="49"/>
        <v>IoU 50</v>
      </c>
      <c r="AG173" s="11">
        <v>0.40215476061759203</v>
      </c>
      <c r="AH173" s="11">
        <v>0.2050745725718443</v>
      </c>
      <c r="AI173" s="11">
        <v>0.46210069969271733</v>
      </c>
      <c r="AK173" s="11">
        <f t="shared" si="50"/>
        <v>0.30361466659471814</v>
      </c>
      <c r="AL173" s="35" t="str">
        <f t="shared" si="43"/>
        <v>IoU 50</v>
      </c>
      <c r="AM173" s="35" t="str">
        <f t="shared" si="51"/>
        <v>IoU 50</v>
      </c>
    </row>
    <row r="174" spans="1:39" x14ac:dyDescent="0.2">
      <c r="A174" s="11">
        <v>0.19546090127933716</v>
      </c>
      <c r="C174" s="11">
        <v>0.43156637048956609</v>
      </c>
      <c r="E174" s="11" t="str">
        <f t="shared" si="41"/>
        <v>IoU 25</v>
      </c>
      <c r="G174" s="35" t="str">
        <f t="shared" si="54"/>
        <v>IoU 50</v>
      </c>
      <c r="I174" s="11">
        <v>0.75924171771630156</v>
      </c>
      <c r="J174" s="11">
        <v>0.61289231779256148</v>
      </c>
      <c r="K174" s="11">
        <v>0.4244674084311777</v>
      </c>
      <c r="M174" s="11">
        <f t="shared" si="44"/>
        <v>0.68606701775443146</v>
      </c>
      <c r="N174" s="35" t="str">
        <f t="shared" si="53"/>
        <v>IoU 75</v>
      </c>
      <c r="O174" s="35" t="str">
        <f t="shared" si="45"/>
        <v>IoU 50</v>
      </c>
      <c r="Q174" s="11">
        <v>0.22346911476235512</v>
      </c>
      <c r="R174" s="11">
        <v>0.38500839476254556</v>
      </c>
      <c r="S174" s="11">
        <v>0.56079139226488817</v>
      </c>
      <c r="U174" s="11">
        <f t="shared" si="46"/>
        <v>0.30423875476245033</v>
      </c>
      <c r="V174" s="35" t="str">
        <f t="shared" si="42"/>
        <v>IoU 50</v>
      </c>
      <c r="W174" s="35" t="str">
        <f t="shared" si="47"/>
        <v>IoU 75</v>
      </c>
      <c r="Y174" s="11">
        <v>0.20778926673674805</v>
      </c>
      <c r="AA174" s="11">
        <v>0.20424580451689214</v>
      </c>
      <c r="AC174" s="11">
        <v>0.20778926673674805</v>
      </c>
      <c r="AD174" s="35" t="str">
        <f t="shared" si="55"/>
        <v>IoU 25</v>
      </c>
      <c r="AE174" s="35" t="str">
        <f t="shared" si="49"/>
        <v>IoU 25</v>
      </c>
      <c r="AG174" s="11">
        <v>0.27071021217296054</v>
      </c>
      <c r="AH174" s="11">
        <v>0.40387196825091226</v>
      </c>
      <c r="AI174" s="11">
        <v>0.38373317491620379</v>
      </c>
      <c r="AK174" s="11">
        <f t="shared" si="50"/>
        <v>0.33729109021193637</v>
      </c>
      <c r="AL174" s="35" t="str">
        <f t="shared" si="43"/>
        <v>IoU 50</v>
      </c>
      <c r="AM174" s="35" t="str">
        <f t="shared" si="51"/>
        <v>IoU 50</v>
      </c>
    </row>
    <row r="175" spans="1:39" x14ac:dyDescent="0.2">
      <c r="A175" s="11">
        <v>0.30707264256191391</v>
      </c>
      <c r="C175" s="11">
        <v>0.37420667143786979</v>
      </c>
      <c r="E175" s="11" t="str">
        <f t="shared" si="41"/>
        <v>IoU 50</v>
      </c>
      <c r="G175" s="35" t="str">
        <f t="shared" si="54"/>
        <v>IoU 50</v>
      </c>
      <c r="I175" s="11">
        <v>0.17850183009402962</v>
      </c>
      <c r="J175" s="11">
        <v>0.17571596426474403</v>
      </c>
      <c r="K175" s="11">
        <v>0.55571028191191341</v>
      </c>
      <c r="M175" s="11">
        <f t="shared" si="44"/>
        <v>0.17710889717938683</v>
      </c>
      <c r="N175" s="35" t="str">
        <f t="shared" si="53"/>
        <v>IoU 25</v>
      </c>
      <c r="O175" s="35" t="str">
        <f t="shared" si="45"/>
        <v>IoU 75</v>
      </c>
      <c r="Q175" s="11">
        <v>0.37282327448557395</v>
      </c>
      <c r="R175" s="11">
        <v>0.75245649764783373</v>
      </c>
      <c r="S175" s="11">
        <v>0.35729820462968842</v>
      </c>
      <c r="U175" s="11">
        <f t="shared" si="46"/>
        <v>0.5626398860667039</v>
      </c>
      <c r="V175" s="35" t="str">
        <f t="shared" si="42"/>
        <v>IoU 75</v>
      </c>
      <c r="W175" s="35" t="str">
        <f t="shared" si="47"/>
        <v>IoU 50</v>
      </c>
      <c r="Y175" s="11">
        <v>0.17363272565584703</v>
      </c>
      <c r="Z175" s="11">
        <v>0.22836934200030548</v>
      </c>
      <c r="AA175" s="11">
        <v>0.46302212455320485</v>
      </c>
      <c r="AC175" s="11">
        <f t="shared" si="48"/>
        <v>0.20100103382807627</v>
      </c>
      <c r="AD175" s="35" t="str">
        <f t="shared" si="55"/>
        <v>IoU 25</v>
      </c>
      <c r="AE175" s="35" t="str">
        <f t="shared" si="49"/>
        <v>IoU 50</v>
      </c>
      <c r="AG175" s="11">
        <v>0.21498191773699277</v>
      </c>
      <c r="AH175" s="11">
        <v>0.28477734257390558</v>
      </c>
      <c r="AI175" s="11">
        <v>0.24634642819798283</v>
      </c>
      <c r="AK175" s="11">
        <f t="shared" si="50"/>
        <v>0.24987963015544917</v>
      </c>
      <c r="AL175" s="35" t="str">
        <f t="shared" si="43"/>
        <v>IoU 25</v>
      </c>
      <c r="AM175" s="35" t="str">
        <f t="shared" si="51"/>
        <v>IoU 25</v>
      </c>
    </row>
    <row r="176" spans="1:39" x14ac:dyDescent="0.2">
      <c r="C176" s="11">
        <v>0.5157727241347092</v>
      </c>
      <c r="E176" s="11" t="str">
        <f t="shared" si="41"/>
        <v>IoU 25</v>
      </c>
      <c r="G176" s="35" t="str">
        <f t="shared" si="54"/>
        <v>IoU 75</v>
      </c>
      <c r="I176" s="11">
        <v>0.19150267714345318</v>
      </c>
      <c r="K176" s="11">
        <v>0.15416089229760854</v>
      </c>
      <c r="M176" s="11">
        <v>0.19150267714345318</v>
      </c>
      <c r="N176" s="35" t="str">
        <f t="shared" si="53"/>
        <v>IoU 25</v>
      </c>
      <c r="O176" s="35" t="str">
        <f t="shared" si="45"/>
        <v>IoU 25</v>
      </c>
      <c r="Q176" s="11">
        <v>0.38595774831162732</v>
      </c>
      <c r="R176" s="11">
        <v>0.64412135653226898</v>
      </c>
      <c r="S176" s="11">
        <v>0.38788854484756607</v>
      </c>
      <c r="U176" s="11">
        <f t="shared" si="46"/>
        <v>0.51503955242194821</v>
      </c>
      <c r="V176" s="35" t="str">
        <f t="shared" si="42"/>
        <v>IoU 75</v>
      </c>
      <c r="W176" s="35" t="str">
        <f t="shared" si="47"/>
        <v>IoU 50</v>
      </c>
      <c r="Z176" s="11">
        <v>0.43188116885265759</v>
      </c>
      <c r="AA176" s="11">
        <v>0.57003257551125619</v>
      </c>
      <c r="AC176" s="11">
        <v>0.43188116885265759</v>
      </c>
      <c r="AD176" s="35" t="str">
        <f t="shared" si="55"/>
        <v>IoU 50</v>
      </c>
      <c r="AE176" s="35" t="str">
        <f t="shared" si="49"/>
        <v>IoU 75</v>
      </c>
      <c r="AG176" s="11">
        <v>0.21184330111996585</v>
      </c>
      <c r="AH176" s="11">
        <v>0</v>
      </c>
      <c r="AI176" s="11">
        <v>0.35373550188913488</v>
      </c>
      <c r="AK176" s="11">
        <f t="shared" si="50"/>
        <v>0.10592165055998293</v>
      </c>
      <c r="AL176" s="35" t="str">
        <f t="shared" si="43"/>
        <v>IoU 25</v>
      </c>
      <c r="AM176" s="35" t="str">
        <f t="shared" si="51"/>
        <v>IoU 50</v>
      </c>
    </row>
    <row r="177" spans="1:39" x14ac:dyDescent="0.2">
      <c r="A177" s="11">
        <v>0.55386822875825192</v>
      </c>
      <c r="C177" s="11">
        <v>0.44046705318885859</v>
      </c>
      <c r="E177" s="11" t="str">
        <f t="shared" si="41"/>
        <v>IoU 75</v>
      </c>
      <c r="G177" s="35" t="str">
        <f t="shared" si="54"/>
        <v>IoU 50</v>
      </c>
      <c r="I177" s="11">
        <v>0.21024663313321434</v>
      </c>
      <c r="J177" s="11">
        <v>0.42382428479844003</v>
      </c>
      <c r="K177" s="11">
        <v>0.30590860145196042</v>
      </c>
      <c r="M177" s="11">
        <f t="shared" si="44"/>
        <v>0.31703545896582719</v>
      </c>
      <c r="N177" s="35" t="str">
        <f t="shared" si="53"/>
        <v>IoU 50</v>
      </c>
      <c r="O177" s="35" t="str">
        <f t="shared" si="45"/>
        <v>IoU 50</v>
      </c>
      <c r="Q177" s="11">
        <v>0.15572312361189458</v>
      </c>
      <c r="R177" s="11">
        <v>0.39957603658389962</v>
      </c>
      <c r="S177" s="11">
        <v>0.31001613283387863</v>
      </c>
      <c r="U177" s="11">
        <f t="shared" si="46"/>
        <v>0.27764958009789709</v>
      </c>
      <c r="V177" s="35" t="str">
        <f t="shared" si="42"/>
        <v>IoU 50</v>
      </c>
      <c r="W177" s="35" t="str">
        <f t="shared" si="47"/>
        <v>IoU 50</v>
      </c>
      <c r="Y177" s="11">
        <v>0.36495710651630708</v>
      </c>
      <c r="Z177" s="11">
        <v>0.43637065871969227</v>
      </c>
      <c r="AA177" s="11">
        <v>0.32849393027076901</v>
      </c>
      <c r="AC177" s="11">
        <f t="shared" si="48"/>
        <v>0.40066388261799968</v>
      </c>
      <c r="AD177" s="35" t="str">
        <f t="shared" si="55"/>
        <v>IoU 50</v>
      </c>
      <c r="AE177" s="35" t="str">
        <f t="shared" si="49"/>
        <v>IoU 50</v>
      </c>
      <c r="AG177" s="11">
        <v>0.25276386931486006</v>
      </c>
      <c r="AH177" s="11">
        <v>0.43720726952956501</v>
      </c>
      <c r="AI177" s="11">
        <v>0.42491458294408369</v>
      </c>
      <c r="AK177" s="11">
        <f t="shared" si="50"/>
        <v>0.34498556942221253</v>
      </c>
      <c r="AL177" s="35" t="str">
        <f t="shared" si="43"/>
        <v>IoU 50</v>
      </c>
      <c r="AM177" s="35" t="str">
        <f t="shared" si="51"/>
        <v>IoU 50</v>
      </c>
    </row>
    <row r="178" spans="1:39" x14ac:dyDescent="0.2">
      <c r="A178" s="11">
        <v>0.38915213506423973</v>
      </c>
      <c r="C178" s="11">
        <v>0.36369631094435106</v>
      </c>
      <c r="E178" s="11" t="str">
        <f t="shared" si="41"/>
        <v>IoU 50</v>
      </c>
      <c r="G178" s="35" t="str">
        <f t="shared" si="54"/>
        <v>IoU 50</v>
      </c>
      <c r="I178" s="11">
        <v>0.19822468946353705</v>
      </c>
      <c r="K178" s="11">
        <v>0.32954180800678323</v>
      </c>
      <c r="M178" s="11">
        <v>0.19822468946353705</v>
      </c>
      <c r="N178" s="35" t="str">
        <f t="shared" ref="N178:N209" si="56">VLOOKUP(M178,IoU_Thresholds,2,TRUE)</f>
        <v>IoU 25</v>
      </c>
      <c r="O178" s="35" t="str">
        <f t="shared" si="45"/>
        <v>IoU 50</v>
      </c>
      <c r="Q178" s="11">
        <v>0.48681509832109993</v>
      </c>
      <c r="R178" s="11">
        <v>0.8571364323779801</v>
      </c>
      <c r="S178" s="11">
        <v>0.52676525340572522</v>
      </c>
      <c r="U178" s="11">
        <f t="shared" si="46"/>
        <v>0.67197576534953996</v>
      </c>
      <c r="V178" s="35" t="str">
        <f t="shared" si="42"/>
        <v>IoU 75</v>
      </c>
      <c r="W178" s="35" t="str">
        <f t="shared" si="47"/>
        <v>IoU 75</v>
      </c>
      <c r="Z178" s="11">
        <v>0.42660479917775629</v>
      </c>
      <c r="AA178" s="11">
        <v>0.51339942329872301</v>
      </c>
      <c r="AC178" s="11">
        <v>0.42660479917775629</v>
      </c>
      <c r="AD178" s="35" t="str">
        <f t="shared" si="55"/>
        <v>IoU 50</v>
      </c>
      <c r="AE178" s="35" t="str">
        <f t="shared" si="49"/>
        <v>IoU 75</v>
      </c>
      <c r="AG178" s="11">
        <v>0.25915664740465755</v>
      </c>
      <c r="AH178" s="11">
        <v>0</v>
      </c>
      <c r="AI178" s="11">
        <v>0.31302212831266119</v>
      </c>
      <c r="AK178" s="11">
        <f t="shared" si="50"/>
        <v>0.12957832370232877</v>
      </c>
      <c r="AL178" s="35" t="str">
        <f t="shared" si="43"/>
        <v>IoU 25</v>
      </c>
      <c r="AM178" s="35" t="str">
        <f t="shared" si="51"/>
        <v>IoU 50</v>
      </c>
    </row>
    <row r="179" spans="1:39" x14ac:dyDescent="0.2">
      <c r="A179" s="11">
        <v>0.27370945782590256</v>
      </c>
      <c r="C179" s="11">
        <v>0.21748709834629248</v>
      </c>
      <c r="E179" s="11" t="str">
        <f t="shared" si="41"/>
        <v>IoU 50</v>
      </c>
      <c r="G179" s="35" t="str">
        <f t="shared" si="54"/>
        <v>IoU 25</v>
      </c>
      <c r="I179" s="11">
        <v>0.54102569427545688</v>
      </c>
      <c r="J179" s="11">
        <v>0.64907256195781626</v>
      </c>
      <c r="K179" s="11">
        <v>0.33846716046414194</v>
      </c>
      <c r="M179" s="11">
        <f t="shared" si="44"/>
        <v>0.59504912811663657</v>
      </c>
      <c r="N179" s="35" t="str">
        <f t="shared" si="56"/>
        <v>IoU 75</v>
      </c>
      <c r="O179" s="35" t="str">
        <f t="shared" si="45"/>
        <v>IoU 50</v>
      </c>
      <c r="Q179" s="11">
        <v>0.19803557476496161</v>
      </c>
      <c r="R179" s="11">
        <v>0.45089018288886717</v>
      </c>
      <c r="S179" s="11">
        <v>0.54981527989551171</v>
      </c>
      <c r="U179" s="11">
        <f t="shared" si="46"/>
        <v>0.32446287882691438</v>
      </c>
      <c r="V179" s="35" t="str">
        <f t="shared" si="42"/>
        <v>IoU 50</v>
      </c>
      <c r="W179" s="35" t="str">
        <f t="shared" si="47"/>
        <v>IoU 75</v>
      </c>
      <c r="Y179" s="11">
        <v>0.43800307178374642</v>
      </c>
      <c r="Z179" s="11">
        <v>0.21045903530735752</v>
      </c>
      <c r="AA179" s="11">
        <v>0.46952793994701014</v>
      </c>
      <c r="AC179" s="11">
        <f t="shared" si="48"/>
        <v>0.32423105354555198</v>
      </c>
      <c r="AD179" s="35" t="str">
        <f t="shared" si="55"/>
        <v>IoU 50</v>
      </c>
      <c r="AE179" s="35" t="str">
        <f t="shared" si="49"/>
        <v>IoU 50</v>
      </c>
      <c r="AG179" s="11">
        <v>0.39361724479980653</v>
      </c>
      <c r="AH179" s="11">
        <v>0.39940754818726387</v>
      </c>
      <c r="AI179" s="11">
        <v>0.42081117733654039</v>
      </c>
      <c r="AK179" s="11">
        <f t="shared" si="50"/>
        <v>0.3965123964935352</v>
      </c>
      <c r="AL179" s="35" t="str">
        <f t="shared" si="43"/>
        <v>IoU 50</v>
      </c>
      <c r="AM179" s="35" t="str">
        <f t="shared" si="51"/>
        <v>IoU 50</v>
      </c>
    </row>
    <row r="180" spans="1:39" x14ac:dyDescent="0.2">
      <c r="A180" s="11">
        <v>0.34226516238354515</v>
      </c>
      <c r="C180" s="11">
        <v>0.38070503648576082</v>
      </c>
      <c r="E180" s="11" t="str">
        <f t="shared" si="41"/>
        <v>IoU 50</v>
      </c>
      <c r="G180" s="35" t="str">
        <f t="shared" si="54"/>
        <v>IoU 50</v>
      </c>
      <c r="I180" s="11">
        <v>0.21852866366660145</v>
      </c>
      <c r="J180" s="11">
        <v>0.42446540380419695</v>
      </c>
      <c r="K180" s="11">
        <v>0.48578281504607784</v>
      </c>
      <c r="M180" s="11">
        <f t="shared" si="44"/>
        <v>0.32149703373539917</v>
      </c>
      <c r="N180" s="35" t="str">
        <f t="shared" si="56"/>
        <v>IoU 50</v>
      </c>
      <c r="O180" s="35" t="str">
        <f t="shared" si="45"/>
        <v>IoU 50</v>
      </c>
      <c r="Q180" s="11">
        <v>0.41847487455006599</v>
      </c>
      <c r="R180" s="11">
        <v>0.7234139878065079</v>
      </c>
      <c r="S180" s="11">
        <v>0.24413288943328149</v>
      </c>
      <c r="U180" s="11">
        <f t="shared" si="46"/>
        <v>0.57094443117828697</v>
      </c>
      <c r="V180" s="35" t="str">
        <f t="shared" si="42"/>
        <v>IoU 75</v>
      </c>
      <c r="W180" s="35" t="str">
        <f t="shared" si="47"/>
        <v>IoU 25</v>
      </c>
      <c r="Z180" s="11">
        <v>0.45727928561754561</v>
      </c>
      <c r="AC180" s="11">
        <v>0.45727928561754561</v>
      </c>
      <c r="AD180" s="35" t="str">
        <f t="shared" si="55"/>
        <v>IoU 50</v>
      </c>
      <c r="AE180" s="35"/>
      <c r="AG180" s="11">
        <v>0.44827495236374781</v>
      </c>
      <c r="AH180" s="11">
        <v>0</v>
      </c>
      <c r="AI180" s="11">
        <v>0.40154403619583945</v>
      </c>
      <c r="AK180" s="11">
        <f t="shared" si="50"/>
        <v>0.22413747618187391</v>
      </c>
      <c r="AL180" s="35" t="str">
        <f t="shared" si="43"/>
        <v>IoU 25</v>
      </c>
      <c r="AM180" s="35" t="str">
        <f t="shared" si="51"/>
        <v>IoU 50</v>
      </c>
    </row>
    <row r="181" spans="1:39" x14ac:dyDescent="0.2">
      <c r="A181" s="11">
        <v>0.20768508976429623</v>
      </c>
      <c r="C181" s="11">
        <v>0.58381615984354585</v>
      </c>
      <c r="E181" s="11" t="str">
        <f t="shared" si="41"/>
        <v>IoU 25</v>
      </c>
      <c r="G181" s="35" t="str">
        <f t="shared" si="54"/>
        <v>IoU 75</v>
      </c>
      <c r="K181" s="11">
        <v>0.45729387223043555</v>
      </c>
      <c r="N181" s="35"/>
      <c r="O181" s="35" t="str">
        <f t="shared" si="45"/>
        <v>IoU 50</v>
      </c>
      <c r="Q181" s="11">
        <v>0.40572529401556251</v>
      </c>
      <c r="R181" s="11">
        <v>0.40773834762410238</v>
      </c>
      <c r="S181" s="11">
        <v>0.3679886760610443</v>
      </c>
      <c r="U181" s="11">
        <f t="shared" si="46"/>
        <v>0.40673182081983245</v>
      </c>
      <c r="V181" s="35" t="str">
        <f t="shared" si="42"/>
        <v>IoU 50</v>
      </c>
      <c r="W181" s="35" t="str">
        <f t="shared" si="47"/>
        <v>IoU 50</v>
      </c>
      <c r="Z181" s="11">
        <v>0.61073201168581326</v>
      </c>
      <c r="AA181" s="11">
        <v>0.45771037859136959</v>
      </c>
      <c r="AC181" s="11">
        <v>0.61073201168581326</v>
      </c>
      <c r="AD181" s="35" t="str">
        <f t="shared" ref="AD181:AD212" si="57">VLOOKUP(AC181,IoU_Thresholds,2,TRUE)</f>
        <v>IoU 75</v>
      </c>
      <c r="AE181" s="35" t="str">
        <f t="shared" si="49"/>
        <v>IoU 50</v>
      </c>
      <c r="AG181" s="11">
        <v>0.17150484944746713</v>
      </c>
      <c r="AH181" s="11">
        <v>0.48915635401822066</v>
      </c>
      <c r="AI181" s="11">
        <v>0.31778711390091696</v>
      </c>
      <c r="AK181" s="11">
        <f t="shared" si="50"/>
        <v>0.3303306017328439</v>
      </c>
      <c r="AL181" s="35" t="str">
        <f t="shared" si="43"/>
        <v>IoU 50</v>
      </c>
      <c r="AM181" s="35" t="str">
        <f t="shared" si="51"/>
        <v>IoU 50</v>
      </c>
    </row>
    <row r="182" spans="1:39" x14ac:dyDescent="0.2">
      <c r="A182" s="11">
        <v>0.20287045467052095</v>
      </c>
      <c r="C182" s="11">
        <v>0.51870774677265208</v>
      </c>
      <c r="E182" s="11" t="str">
        <f t="shared" si="41"/>
        <v>IoU 25</v>
      </c>
      <c r="G182" s="35" t="str">
        <f t="shared" si="54"/>
        <v>IoU 75</v>
      </c>
      <c r="I182" s="11">
        <v>0.60483277072635944</v>
      </c>
      <c r="J182" s="11">
        <v>0.59753296304310477</v>
      </c>
      <c r="K182" s="11">
        <v>0.44875754873452334</v>
      </c>
      <c r="M182" s="11">
        <f t="shared" si="44"/>
        <v>0.6011828668847321</v>
      </c>
      <c r="N182" s="35" t="str">
        <f t="shared" ref="N182:N213" si="58">VLOOKUP(M182,IoU_Thresholds,2,TRUE)</f>
        <v>IoU 75</v>
      </c>
      <c r="O182" s="35" t="str">
        <f t="shared" si="45"/>
        <v>IoU 50</v>
      </c>
      <c r="Q182" s="11">
        <v>0.24303846293285047</v>
      </c>
      <c r="R182" s="11">
        <v>0.79592414163318315</v>
      </c>
      <c r="S182" s="11">
        <v>0.45166770248024646</v>
      </c>
      <c r="U182" s="11">
        <f t="shared" si="46"/>
        <v>0.51948130228301681</v>
      </c>
      <c r="V182" s="35" t="str">
        <f t="shared" si="42"/>
        <v>IoU 75</v>
      </c>
      <c r="W182" s="35" t="str">
        <f t="shared" si="47"/>
        <v>IoU 50</v>
      </c>
      <c r="Z182" s="11">
        <v>0.73995262869957201</v>
      </c>
      <c r="AC182" s="11">
        <v>0.73995262869957201</v>
      </c>
      <c r="AD182" s="35" t="str">
        <f t="shared" si="57"/>
        <v>IoU 75</v>
      </c>
      <c r="AE182" s="35"/>
      <c r="AG182" s="11">
        <v>0.10637380151183867</v>
      </c>
      <c r="AH182" s="11">
        <v>0.19118432975392988</v>
      </c>
      <c r="AI182" s="11">
        <v>0.35501290996113405</v>
      </c>
      <c r="AK182" s="11">
        <f t="shared" si="50"/>
        <v>0.14877906563288429</v>
      </c>
      <c r="AL182" s="35" t="str">
        <f t="shared" si="43"/>
        <v>IoU 25</v>
      </c>
      <c r="AM182" s="35" t="str">
        <f t="shared" si="51"/>
        <v>IoU 50</v>
      </c>
    </row>
    <row r="183" spans="1:39" x14ac:dyDescent="0.2">
      <c r="C183" s="11">
        <v>0.43379650099452804</v>
      </c>
      <c r="E183" s="11" t="str">
        <f t="shared" si="41"/>
        <v>IoU 25</v>
      </c>
      <c r="G183" s="35" t="str">
        <f t="shared" si="54"/>
        <v>IoU 50</v>
      </c>
      <c r="I183" s="11">
        <v>0.2757302390112083</v>
      </c>
      <c r="J183" s="11">
        <v>0.44718113839222462</v>
      </c>
      <c r="K183" s="11">
        <v>0.32741976772765247</v>
      </c>
      <c r="M183" s="11">
        <f t="shared" si="44"/>
        <v>0.36145568870171646</v>
      </c>
      <c r="N183" s="35" t="str">
        <f t="shared" si="58"/>
        <v>IoU 50</v>
      </c>
      <c r="O183" s="35" t="str">
        <f t="shared" si="45"/>
        <v>IoU 50</v>
      </c>
      <c r="Q183" s="11">
        <v>0.50218276652161808</v>
      </c>
      <c r="R183" s="11">
        <v>0.40491747623547647</v>
      </c>
      <c r="S183" s="11">
        <v>0.60859608032486689</v>
      </c>
      <c r="U183" s="11">
        <f t="shared" si="46"/>
        <v>0.45355012137854728</v>
      </c>
      <c r="V183" s="35" t="str">
        <f t="shared" si="42"/>
        <v>IoU 50</v>
      </c>
      <c r="W183" s="35" t="str">
        <f t="shared" si="47"/>
        <v>IoU 75</v>
      </c>
      <c r="Y183" s="11">
        <v>0.16512296390929415</v>
      </c>
      <c r="AA183" s="11">
        <v>0.24261093122734589</v>
      </c>
      <c r="AC183" s="11">
        <v>0.16512296390929415</v>
      </c>
      <c r="AD183" s="35" t="str">
        <f t="shared" si="57"/>
        <v>IoU 25</v>
      </c>
      <c r="AE183" s="35" t="str">
        <f t="shared" si="49"/>
        <v>IoU 25</v>
      </c>
      <c r="AG183" s="11">
        <v>0.40787941841275244</v>
      </c>
      <c r="AH183" s="11">
        <v>0.31100995707163492</v>
      </c>
      <c r="AI183" s="11">
        <v>0.17992421909778156</v>
      </c>
      <c r="AK183" s="11">
        <f t="shared" si="50"/>
        <v>0.35944468774219368</v>
      </c>
      <c r="AL183" s="35" t="str">
        <f t="shared" si="43"/>
        <v>IoU 50</v>
      </c>
      <c r="AM183" s="35" t="str">
        <f t="shared" si="51"/>
        <v>IoU 25</v>
      </c>
    </row>
    <row r="184" spans="1:39" x14ac:dyDescent="0.2">
      <c r="C184" s="11">
        <v>0.35833621023318041</v>
      </c>
      <c r="E184" s="11" t="str">
        <f t="shared" si="41"/>
        <v>IoU 25</v>
      </c>
      <c r="G184" s="35" t="str">
        <f t="shared" si="54"/>
        <v>IoU 50</v>
      </c>
      <c r="I184" s="11">
        <v>0.24370747096445941</v>
      </c>
      <c r="J184" s="11">
        <v>4.7207621896626181E-2</v>
      </c>
      <c r="K184" s="11">
        <v>0.16149989167468259</v>
      </c>
      <c r="M184" s="11">
        <f t="shared" si="44"/>
        <v>0.14545754643054279</v>
      </c>
      <c r="N184" s="35" t="str">
        <f t="shared" si="58"/>
        <v>IoU 25</v>
      </c>
      <c r="O184" s="35" t="str">
        <f t="shared" si="45"/>
        <v>IoU 25</v>
      </c>
      <c r="Q184" s="11">
        <v>0.31920279846894356</v>
      </c>
      <c r="R184" s="11">
        <v>0.76309371636787993</v>
      </c>
      <c r="S184" s="11">
        <v>0.42769989692642779</v>
      </c>
      <c r="U184" s="11">
        <f t="shared" si="46"/>
        <v>0.54114825741841177</v>
      </c>
      <c r="V184" s="35" t="str">
        <f t="shared" si="42"/>
        <v>IoU 75</v>
      </c>
      <c r="W184" s="35" t="str">
        <f t="shared" si="47"/>
        <v>IoU 50</v>
      </c>
      <c r="Z184" s="11">
        <v>0.3674027601628238</v>
      </c>
      <c r="AA184" s="11">
        <v>0.54383768669398258</v>
      </c>
      <c r="AC184" s="11">
        <v>0.3674027601628238</v>
      </c>
      <c r="AD184" s="35" t="str">
        <f t="shared" si="57"/>
        <v>IoU 50</v>
      </c>
      <c r="AE184" s="35" t="str">
        <f t="shared" si="49"/>
        <v>IoU 75</v>
      </c>
      <c r="AG184" s="11">
        <v>0.24625410331412206</v>
      </c>
      <c r="AH184" s="11">
        <v>0.41345838239225119</v>
      </c>
      <c r="AI184" s="11">
        <v>0.27602880612538444</v>
      </c>
      <c r="AK184" s="11">
        <f t="shared" si="50"/>
        <v>0.3298562428531866</v>
      </c>
      <c r="AL184" s="35" t="str">
        <f t="shared" si="43"/>
        <v>IoU 50</v>
      </c>
      <c r="AM184" s="35" t="str">
        <f t="shared" si="51"/>
        <v>IoU 50</v>
      </c>
    </row>
    <row r="185" spans="1:39" x14ac:dyDescent="0.2">
      <c r="A185" s="11">
        <v>0.51566753963055045</v>
      </c>
      <c r="C185" s="11">
        <v>0.22772111364312475</v>
      </c>
      <c r="E185" s="11" t="str">
        <f t="shared" si="41"/>
        <v>IoU 75</v>
      </c>
      <c r="G185" s="35" t="str">
        <f t="shared" si="54"/>
        <v>IoU 25</v>
      </c>
      <c r="I185" s="11">
        <v>0.26439813158314363</v>
      </c>
      <c r="J185" s="11">
        <v>9.0616544728482698E-2</v>
      </c>
      <c r="K185" s="11">
        <v>0.45516945265105113</v>
      </c>
      <c r="M185" s="11">
        <f t="shared" si="44"/>
        <v>0.17750733815581315</v>
      </c>
      <c r="N185" s="35" t="str">
        <f t="shared" si="58"/>
        <v>IoU 25</v>
      </c>
      <c r="O185" s="35" t="str">
        <f t="shared" si="45"/>
        <v>IoU 50</v>
      </c>
      <c r="Q185" s="11">
        <v>0.2259963555491718</v>
      </c>
      <c r="R185" s="11">
        <v>0.38205004760531769</v>
      </c>
      <c r="S185" s="11">
        <v>0.46640053766248279</v>
      </c>
      <c r="U185" s="11">
        <f t="shared" si="46"/>
        <v>0.30402320157724472</v>
      </c>
      <c r="V185" s="35" t="str">
        <f t="shared" si="42"/>
        <v>IoU 50</v>
      </c>
      <c r="W185" s="35" t="str">
        <f t="shared" si="47"/>
        <v>IoU 50</v>
      </c>
      <c r="Y185" s="11">
        <v>0.18571694831013916</v>
      </c>
      <c r="Z185" s="11">
        <v>0.52417463084631688</v>
      </c>
      <c r="AA185" s="11">
        <v>5.6344963786358594E-2</v>
      </c>
      <c r="AC185" s="11">
        <f t="shared" si="48"/>
        <v>0.35494578957822803</v>
      </c>
      <c r="AD185" s="35" t="str">
        <f t="shared" si="57"/>
        <v>IoU 50</v>
      </c>
      <c r="AE185" s="35" t="str">
        <f t="shared" si="49"/>
        <v>IoU 25</v>
      </c>
      <c r="AG185" s="11">
        <v>0.40031485634804859</v>
      </c>
      <c r="AH185" s="11">
        <v>0.54261458242172989</v>
      </c>
      <c r="AI185" s="11">
        <v>0.47849561923346179</v>
      </c>
      <c r="AK185" s="11">
        <f t="shared" si="50"/>
        <v>0.47146471938488921</v>
      </c>
      <c r="AL185" s="35" t="str">
        <f t="shared" si="43"/>
        <v>IoU 50</v>
      </c>
      <c r="AM185" s="35" t="str">
        <f t="shared" si="51"/>
        <v>IoU 50</v>
      </c>
    </row>
    <row r="186" spans="1:39" x14ac:dyDescent="0.2">
      <c r="C186" s="11">
        <v>0.59200066830188702</v>
      </c>
      <c r="E186" s="11" t="str">
        <f t="shared" si="41"/>
        <v>IoU 25</v>
      </c>
      <c r="G186" s="35" t="str">
        <f t="shared" si="54"/>
        <v>IoU 75</v>
      </c>
      <c r="I186" s="11">
        <v>0</v>
      </c>
      <c r="K186" s="11">
        <v>0.46236027929843215</v>
      </c>
      <c r="M186" s="11">
        <v>0</v>
      </c>
      <c r="N186" s="35" t="str">
        <f t="shared" si="58"/>
        <v>IoU 25</v>
      </c>
      <c r="O186" s="35" t="str">
        <f t="shared" si="45"/>
        <v>IoU 50</v>
      </c>
      <c r="Q186" s="11">
        <v>0.20934764320529209</v>
      </c>
      <c r="R186" s="11">
        <v>0.45000819564667827</v>
      </c>
      <c r="S186" s="11">
        <v>0.3439471778278419</v>
      </c>
      <c r="U186" s="11">
        <f t="shared" si="46"/>
        <v>0.32967791942598518</v>
      </c>
      <c r="V186" s="35" t="str">
        <f t="shared" si="42"/>
        <v>IoU 50</v>
      </c>
      <c r="W186" s="35" t="str">
        <f t="shared" si="47"/>
        <v>IoU 50</v>
      </c>
      <c r="Z186" s="11">
        <v>0.43341650297033552</v>
      </c>
      <c r="AA186" s="11">
        <v>0.54779582579833841</v>
      </c>
      <c r="AC186" s="11">
        <v>0.43341650297033552</v>
      </c>
      <c r="AD186" s="35" t="str">
        <f t="shared" si="57"/>
        <v>IoU 50</v>
      </c>
      <c r="AE186" s="35" t="str">
        <f t="shared" si="49"/>
        <v>IoU 75</v>
      </c>
      <c r="AG186" s="11">
        <v>0.17518740629685156</v>
      </c>
      <c r="AH186" s="11">
        <v>0.32368903163992063</v>
      </c>
      <c r="AI186" s="11">
        <v>0.33992720245302854</v>
      </c>
      <c r="AK186" s="11">
        <f t="shared" si="50"/>
        <v>0.24943821896838608</v>
      </c>
      <c r="AL186" s="35" t="str">
        <f t="shared" si="43"/>
        <v>IoU 25</v>
      </c>
      <c r="AM186" s="35" t="str">
        <f t="shared" si="51"/>
        <v>IoU 50</v>
      </c>
    </row>
    <row r="187" spans="1:39" x14ac:dyDescent="0.2">
      <c r="A187" s="11">
        <v>0.30696551006141276</v>
      </c>
      <c r="C187" s="11">
        <v>0.39541221900949708</v>
      </c>
      <c r="E187" s="11" t="str">
        <f t="shared" si="41"/>
        <v>IoU 50</v>
      </c>
      <c r="G187" s="35" t="str">
        <f t="shared" si="54"/>
        <v>IoU 50</v>
      </c>
      <c r="I187" s="11">
        <v>7.8388084073992115E-2</v>
      </c>
      <c r="J187" s="11">
        <v>0.30666009092402535</v>
      </c>
      <c r="K187" s="11">
        <v>0.25775266898420229</v>
      </c>
      <c r="M187" s="11">
        <f t="shared" si="44"/>
        <v>0.19252408749900873</v>
      </c>
      <c r="N187" s="35" t="str">
        <f t="shared" si="58"/>
        <v>IoU 25</v>
      </c>
      <c r="O187" s="35" t="str">
        <f t="shared" si="45"/>
        <v>IoU 50</v>
      </c>
      <c r="Q187" s="11">
        <v>0.24012280640097874</v>
      </c>
      <c r="R187" s="11">
        <v>0.42432584581228106</v>
      </c>
      <c r="S187" s="11">
        <v>0.49570513900878088</v>
      </c>
      <c r="U187" s="11">
        <f t="shared" si="46"/>
        <v>0.33222432610662989</v>
      </c>
      <c r="V187" s="35" t="str">
        <f t="shared" si="42"/>
        <v>IoU 50</v>
      </c>
      <c r="W187" s="35" t="str">
        <f t="shared" si="47"/>
        <v>IoU 50</v>
      </c>
      <c r="Y187" s="11">
        <v>0.58048512385060047</v>
      </c>
      <c r="Z187" s="11">
        <v>0.43018362942731225</v>
      </c>
      <c r="AA187" s="11">
        <v>0.39530202416954574</v>
      </c>
      <c r="AC187" s="11">
        <f t="shared" si="48"/>
        <v>0.50533437663895642</v>
      </c>
      <c r="AD187" s="35" t="str">
        <f t="shared" si="57"/>
        <v>IoU 75</v>
      </c>
      <c r="AE187" s="35" t="str">
        <f t="shared" si="49"/>
        <v>IoU 50</v>
      </c>
      <c r="AG187" s="11">
        <v>0.45369150429016175</v>
      </c>
      <c r="AH187" s="11">
        <v>0.43089129363052053</v>
      </c>
      <c r="AI187" s="11">
        <v>0.33248160664695192</v>
      </c>
      <c r="AK187" s="11">
        <f t="shared" si="50"/>
        <v>0.44229139896034114</v>
      </c>
      <c r="AL187" s="35" t="str">
        <f t="shared" si="43"/>
        <v>IoU 50</v>
      </c>
      <c r="AM187" s="35" t="str">
        <f t="shared" si="51"/>
        <v>IoU 50</v>
      </c>
    </row>
    <row r="188" spans="1:39" x14ac:dyDescent="0.2">
      <c r="A188" s="11">
        <v>1.9846000993541977E-2</v>
      </c>
      <c r="C188" s="11">
        <v>0.45402962963321342</v>
      </c>
      <c r="E188" s="11" t="str">
        <f t="shared" si="41"/>
        <v>IoU 25</v>
      </c>
      <c r="G188" s="35" t="str">
        <f t="shared" si="54"/>
        <v>IoU 50</v>
      </c>
      <c r="I188" s="11">
        <v>0.39745247962072761</v>
      </c>
      <c r="K188" s="11">
        <v>0.38423956964047246</v>
      </c>
      <c r="M188" s="11">
        <v>0.39745247962072761</v>
      </c>
      <c r="N188" s="35" t="str">
        <f t="shared" si="58"/>
        <v>IoU 50</v>
      </c>
      <c r="O188" s="35" t="str">
        <f t="shared" si="45"/>
        <v>IoU 50</v>
      </c>
      <c r="Q188" s="11">
        <v>0.18761167361524717</v>
      </c>
      <c r="R188" s="11">
        <v>0.3891901792120393</v>
      </c>
      <c r="S188" s="11">
        <v>0.12378022261596008</v>
      </c>
      <c r="U188" s="11">
        <f t="shared" si="46"/>
        <v>0.28840092641364323</v>
      </c>
      <c r="V188" s="35" t="str">
        <f t="shared" si="42"/>
        <v>IoU 50</v>
      </c>
      <c r="W188" s="35" t="str">
        <f t="shared" si="47"/>
        <v>IoU 25</v>
      </c>
      <c r="Z188" s="11">
        <v>0.42973162087837136</v>
      </c>
      <c r="AA188" s="11">
        <v>0.42619097376499149</v>
      </c>
      <c r="AC188" s="11">
        <v>0.75990545714923474</v>
      </c>
      <c r="AD188" s="35" t="str">
        <f t="shared" si="57"/>
        <v>IoU 100</v>
      </c>
      <c r="AE188" s="35" t="str">
        <f t="shared" si="49"/>
        <v>IoU 50</v>
      </c>
      <c r="AG188" s="11">
        <v>0.30303519205713475</v>
      </c>
      <c r="AH188" s="11">
        <v>0</v>
      </c>
      <c r="AI188" s="11">
        <v>0.16300615560882664</v>
      </c>
      <c r="AK188" s="11">
        <f t="shared" si="50"/>
        <v>0.15151759602856738</v>
      </c>
      <c r="AL188" s="35" t="str">
        <f t="shared" si="43"/>
        <v>IoU 25</v>
      </c>
      <c r="AM188" s="35" t="str">
        <f t="shared" si="51"/>
        <v>IoU 25</v>
      </c>
    </row>
    <row r="189" spans="1:39" x14ac:dyDescent="0.2">
      <c r="A189" s="11">
        <v>0</v>
      </c>
      <c r="C189" s="11">
        <v>0.22491911167225215</v>
      </c>
      <c r="E189" s="11" t="str">
        <f t="shared" si="41"/>
        <v>IoU 25</v>
      </c>
      <c r="G189" s="35" t="str">
        <f t="shared" si="54"/>
        <v>IoU 25</v>
      </c>
      <c r="I189" s="11">
        <v>2.5009402030838662E-2</v>
      </c>
      <c r="J189" s="11">
        <v>0.29012501247954248</v>
      </c>
      <c r="K189" s="11">
        <v>0.18326485517208141</v>
      </c>
      <c r="M189" s="11">
        <f t="shared" si="44"/>
        <v>0.15756720725519058</v>
      </c>
      <c r="N189" s="35" t="str">
        <f t="shared" si="58"/>
        <v>IoU 25</v>
      </c>
      <c r="O189" s="35" t="str">
        <f t="shared" si="45"/>
        <v>IoU 25</v>
      </c>
      <c r="Q189" s="11">
        <v>0.47404656690866342</v>
      </c>
      <c r="R189" s="11">
        <v>0.7637694992750379</v>
      </c>
      <c r="S189" s="11">
        <v>0.36681538958601712</v>
      </c>
      <c r="U189" s="11">
        <f t="shared" si="46"/>
        <v>0.61890803309185061</v>
      </c>
      <c r="V189" s="35" t="str">
        <f t="shared" si="42"/>
        <v>IoU 75</v>
      </c>
      <c r="W189" s="35" t="str">
        <f t="shared" si="47"/>
        <v>IoU 50</v>
      </c>
      <c r="Y189" s="11">
        <v>0.33669549935832155</v>
      </c>
      <c r="Z189" s="11">
        <v>0.75990545714923474</v>
      </c>
      <c r="AA189" s="11">
        <v>0.42109790869923003</v>
      </c>
      <c r="AC189" s="11">
        <f t="shared" si="48"/>
        <v>0.54830047825377815</v>
      </c>
      <c r="AD189" s="35" t="str">
        <f t="shared" si="57"/>
        <v>IoU 75</v>
      </c>
      <c r="AE189" s="35" t="str">
        <f t="shared" si="49"/>
        <v>IoU 50</v>
      </c>
      <c r="AG189" s="11">
        <v>0.22005566723364775</v>
      </c>
      <c r="AH189" s="11">
        <v>0.56478443864645256</v>
      </c>
      <c r="AI189" s="11">
        <v>0.1721359468407104</v>
      </c>
      <c r="AK189" s="11">
        <f t="shared" si="50"/>
        <v>0.39242005294005017</v>
      </c>
      <c r="AL189" s="35" t="str">
        <f t="shared" si="43"/>
        <v>IoU 50</v>
      </c>
      <c r="AM189" s="35" t="str">
        <f t="shared" si="51"/>
        <v>IoU 25</v>
      </c>
    </row>
    <row r="190" spans="1:39" x14ac:dyDescent="0.2">
      <c r="A190" s="11">
        <v>0.38355140621543804</v>
      </c>
      <c r="C190" s="11">
        <v>0.32444268120489816</v>
      </c>
      <c r="E190" s="11" t="str">
        <f t="shared" si="41"/>
        <v>IoU 50</v>
      </c>
      <c r="G190" s="35" t="str">
        <f t="shared" si="54"/>
        <v>IoU 50</v>
      </c>
      <c r="I190" s="11">
        <v>6.1820682357994629E-2</v>
      </c>
      <c r="J190" s="11">
        <v>0.81806671237392647</v>
      </c>
      <c r="K190" s="11">
        <v>0.42530003588855775</v>
      </c>
      <c r="M190" s="11">
        <f t="shared" si="44"/>
        <v>0.43994369736596056</v>
      </c>
      <c r="N190" s="35" t="str">
        <f t="shared" si="58"/>
        <v>IoU 50</v>
      </c>
      <c r="O190" s="35" t="str">
        <f t="shared" si="45"/>
        <v>IoU 50</v>
      </c>
      <c r="Q190" s="11">
        <v>0.21717598359569781</v>
      </c>
      <c r="R190" s="11">
        <v>0.41486298088487916</v>
      </c>
      <c r="S190" s="11">
        <v>0.62860885995025972</v>
      </c>
      <c r="U190" s="11">
        <f t="shared" si="46"/>
        <v>0.31601948224028847</v>
      </c>
      <c r="V190" s="35" t="str">
        <f t="shared" si="42"/>
        <v>IoU 50</v>
      </c>
      <c r="W190" s="35" t="str">
        <f t="shared" si="47"/>
        <v>IoU 75</v>
      </c>
      <c r="Y190" s="11">
        <v>0.49089679682870241</v>
      </c>
      <c r="Z190" s="11">
        <v>0.6366802746216349</v>
      </c>
      <c r="AA190" s="11">
        <v>0.52157789683279265</v>
      </c>
      <c r="AC190" s="11">
        <f t="shared" si="48"/>
        <v>0.56378853572516863</v>
      </c>
      <c r="AD190" s="35" t="str">
        <f t="shared" si="57"/>
        <v>IoU 75</v>
      </c>
      <c r="AE190" s="35" t="str">
        <f t="shared" si="49"/>
        <v>IoU 75</v>
      </c>
      <c r="AG190" s="11">
        <v>0.13717645137584714</v>
      </c>
      <c r="AH190" s="11">
        <v>0.28966175451916071</v>
      </c>
      <c r="AI190" s="11">
        <v>0.3407318337621239</v>
      </c>
      <c r="AK190" s="11">
        <f t="shared" si="50"/>
        <v>0.21341910294750394</v>
      </c>
      <c r="AL190" s="35" t="str">
        <f t="shared" si="43"/>
        <v>IoU 25</v>
      </c>
      <c r="AM190" s="35" t="str">
        <f t="shared" si="51"/>
        <v>IoU 50</v>
      </c>
    </row>
    <row r="191" spans="1:39" x14ac:dyDescent="0.2">
      <c r="A191" s="11">
        <v>0.23341944997911529</v>
      </c>
      <c r="C191" s="11">
        <v>0.12944206522412655</v>
      </c>
      <c r="E191" s="11" t="str">
        <f t="shared" si="41"/>
        <v>IoU 25</v>
      </c>
      <c r="G191" s="35" t="str">
        <f t="shared" si="54"/>
        <v>IoU 25</v>
      </c>
      <c r="I191" s="11">
        <v>2.8249963308242816E-2</v>
      </c>
      <c r="J191" s="11">
        <v>3.1932622295149218E-2</v>
      </c>
      <c r="K191" s="11">
        <v>0.56605965175880346</v>
      </c>
      <c r="M191" s="11">
        <f t="shared" si="44"/>
        <v>3.0091292801696017E-2</v>
      </c>
      <c r="N191" s="35" t="str">
        <f t="shared" si="58"/>
        <v>IoU 25</v>
      </c>
      <c r="O191" s="35" t="str">
        <f t="shared" si="45"/>
        <v>IoU 75</v>
      </c>
      <c r="Q191" s="11">
        <v>0.21884027126196262</v>
      </c>
      <c r="R191" s="11">
        <v>0.79714523101701384</v>
      </c>
      <c r="S191" s="11">
        <v>0.50153063656235686</v>
      </c>
      <c r="U191" s="11">
        <f t="shared" si="46"/>
        <v>0.50799275113948827</v>
      </c>
      <c r="V191" s="35" t="str">
        <f t="shared" si="42"/>
        <v>IoU 75</v>
      </c>
      <c r="W191" s="35" t="str">
        <f t="shared" si="47"/>
        <v>IoU 75</v>
      </c>
      <c r="Y191" s="11">
        <v>3.3136923606889815E-2</v>
      </c>
      <c r="Z191" s="11">
        <v>0.36419813406694179</v>
      </c>
      <c r="AA191" s="11">
        <v>0.24140096591368215</v>
      </c>
      <c r="AC191" s="11">
        <f t="shared" si="48"/>
        <v>0.1986675288369158</v>
      </c>
      <c r="AD191" s="35" t="str">
        <f t="shared" si="57"/>
        <v>IoU 25</v>
      </c>
      <c r="AE191" s="35" t="str">
        <f t="shared" si="49"/>
        <v>IoU 25</v>
      </c>
      <c r="AG191" s="11">
        <v>1.1847781178877536E-2</v>
      </c>
      <c r="AH191" s="11">
        <v>0.42497596947536709</v>
      </c>
      <c r="AI191" s="11">
        <v>0.30444797275563212</v>
      </c>
      <c r="AK191" s="11">
        <f t="shared" si="50"/>
        <v>0.21841187532712231</v>
      </c>
      <c r="AL191" s="35" t="str">
        <f t="shared" si="43"/>
        <v>IoU 25</v>
      </c>
      <c r="AM191" s="35" t="str">
        <f t="shared" si="51"/>
        <v>IoU 50</v>
      </c>
    </row>
    <row r="192" spans="1:39" x14ac:dyDescent="0.2">
      <c r="C192" s="11">
        <v>0.4285512696061749</v>
      </c>
      <c r="E192" s="11" t="str">
        <f t="shared" si="41"/>
        <v>IoU 25</v>
      </c>
      <c r="G192" s="35" t="str">
        <f t="shared" si="54"/>
        <v>IoU 50</v>
      </c>
      <c r="J192" s="11">
        <v>0.58820363721748758</v>
      </c>
      <c r="K192" s="11">
        <v>0.36360061496931689</v>
      </c>
      <c r="M192" s="11">
        <v>0.58820363721748758</v>
      </c>
      <c r="N192" s="35" t="str">
        <f t="shared" si="58"/>
        <v>IoU 75</v>
      </c>
      <c r="O192" s="35" t="str">
        <f t="shared" si="45"/>
        <v>IoU 50</v>
      </c>
      <c r="Q192" s="11">
        <v>0.38194575766580641</v>
      </c>
      <c r="R192" s="11">
        <v>0.39029021104714262</v>
      </c>
      <c r="S192" s="11">
        <v>0.52443225747072286</v>
      </c>
      <c r="U192" s="11">
        <f t="shared" si="46"/>
        <v>0.38611798435647449</v>
      </c>
      <c r="V192" s="35" t="str">
        <f t="shared" si="42"/>
        <v>IoU 50</v>
      </c>
      <c r="W192" s="35" t="str">
        <f t="shared" si="47"/>
        <v>IoU 75</v>
      </c>
      <c r="Y192" s="11">
        <v>0.1719075686391075</v>
      </c>
      <c r="Z192" s="11">
        <v>0.21751320454381015</v>
      </c>
      <c r="AA192" s="11">
        <v>0.45843336397111412</v>
      </c>
      <c r="AC192" s="11">
        <f t="shared" si="48"/>
        <v>0.19471038659145884</v>
      </c>
      <c r="AD192" s="35" t="str">
        <f t="shared" si="57"/>
        <v>IoU 25</v>
      </c>
      <c r="AE192" s="35" t="str">
        <f t="shared" si="49"/>
        <v>IoU 50</v>
      </c>
      <c r="AG192" s="11">
        <v>0.21354918964544226</v>
      </c>
      <c r="AH192" s="11">
        <v>0.43532208247507675</v>
      </c>
      <c r="AI192" s="11">
        <v>0.19805402927566379</v>
      </c>
      <c r="AK192" s="11">
        <f t="shared" si="50"/>
        <v>0.32443563606025949</v>
      </c>
      <c r="AL192" s="35" t="str">
        <f t="shared" si="43"/>
        <v>IoU 50</v>
      </c>
      <c r="AM192" s="35" t="str">
        <f t="shared" si="51"/>
        <v>IoU 25</v>
      </c>
    </row>
    <row r="193" spans="1:39" x14ac:dyDescent="0.2">
      <c r="A193" s="11">
        <v>0.11755310960591132</v>
      </c>
      <c r="C193" s="11">
        <v>0.73648236675181067</v>
      </c>
      <c r="E193" s="11" t="str">
        <f t="shared" si="41"/>
        <v>IoU 25</v>
      </c>
      <c r="G193" s="35" t="str">
        <f t="shared" si="54"/>
        <v>IoU 75</v>
      </c>
      <c r="I193" s="11">
        <v>0.60196526359560065</v>
      </c>
      <c r="J193" s="11">
        <v>0.44054333257404588</v>
      </c>
      <c r="K193" s="11">
        <v>0.3677304539348164</v>
      </c>
      <c r="M193" s="11">
        <f t="shared" si="44"/>
        <v>0.52125429808482326</v>
      </c>
      <c r="N193" s="35" t="str">
        <f t="shared" si="58"/>
        <v>IoU 75</v>
      </c>
      <c r="O193" s="35" t="str">
        <f t="shared" si="45"/>
        <v>IoU 50</v>
      </c>
      <c r="Q193" s="11">
        <v>0.42880460945230803</v>
      </c>
      <c r="R193" s="11">
        <v>0.33283185588123182</v>
      </c>
      <c r="S193" s="11">
        <v>0.53975687785163085</v>
      </c>
      <c r="U193" s="11">
        <f t="shared" si="46"/>
        <v>0.38081823266676995</v>
      </c>
      <c r="V193" s="35" t="str">
        <f t="shared" si="42"/>
        <v>IoU 50</v>
      </c>
      <c r="W193" s="35" t="str">
        <f t="shared" si="47"/>
        <v>IoU 75</v>
      </c>
      <c r="Z193" s="11">
        <v>0.65500164623246637</v>
      </c>
      <c r="AA193" s="11">
        <v>0.34909276760851643</v>
      </c>
      <c r="AC193" s="11">
        <v>0.65500164623246637</v>
      </c>
      <c r="AD193" s="35" t="str">
        <f t="shared" si="57"/>
        <v>IoU 75</v>
      </c>
      <c r="AE193" s="35" t="str">
        <f t="shared" si="49"/>
        <v>IoU 50</v>
      </c>
      <c r="AG193" s="11">
        <v>0.43862869251369163</v>
      </c>
      <c r="AH193" s="11">
        <v>0.2064001200077652</v>
      </c>
      <c r="AI193" s="11">
        <v>0.45432675736230121</v>
      </c>
      <c r="AK193" s="11">
        <f t="shared" si="50"/>
        <v>0.32251440626072841</v>
      </c>
      <c r="AL193" s="35" t="str">
        <f t="shared" si="43"/>
        <v>IoU 50</v>
      </c>
      <c r="AM193" s="35" t="str">
        <f t="shared" si="51"/>
        <v>IoU 50</v>
      </c>
    </row>
    <row r="194" spans="1:39" x14ac:dyDescent="0.2">
      <c r="A194" s="11">
        <v>0.55711440686096236</v>
      </c>
      <c r="C194" s="11">
        <v>0.52248694932070794</v>
      </c>
      <c r="E194" s="11" t="str">
        <f t="shared" si="41"/>
        <v>IoU 75</v>
      </c>
      <c r="G194" s="35" t="str">
        <f t="shared" si="54"/>
        <v>IoU 75</v>
      </c>
      <c r="J194" s="11">
        <v>0.37371100434628157</v>
      </c>
      <c r="K194" s="11">
        <v>0.34124868984901324</v>
      </c>
      <c r="M194" s="11">
        <v>0.37371100434628157</v>
      </c>
      <c r="N194" s="35" t="str">
        <f t="shared" si="58"/>
        <v>IoU 50</v>
      </c>
      <c r="O194" s="35" t="str">
        <f t="shared" si="45"/>
        <v>IoU 50</v>
      </c>
      <c r="Q194" s="11">
        <v>0.43816298065969284</v>
      </c>
      <c r="R194" s="11">
        <v>0.40507187842438919</v>
      </c>
      <c r="S194" s="11">
        <v>0.35454657120058081</v>
      </c>
      <c r="U194" s="11">
        <f t="shared" si="46"/>
        <v>0.42161742954204101</v>
      </c>
      <c r="V194" s="35" t="str">
        <f t="shared" si="42"/>
        <v>IoU 50</v>
      </c>
      <c r="W194" s="35" t="str">
        <f t="shared" si="47"/>
        <v>IoU 50</v>
      </c>
      <c r="Z194" s="11">
        <v>0.20725845080060215</v>
      </c>
      <c r="AA194" s="11">
        <v>0.35605161555263487</v>
      </c>
      <c r="AC194" s="11">
        <v>0.20725845080060215</v>
      </c>
      <c r="AD194" s="35" t="str">
        <f t="shared" si="57"/>
        <v>IoU 25</v>
      </c>
      <c r="AE194" s="35" t="str">
        <f t="shared" si="49"/>
        <v>IoU 50</v>
      </c>
      <c r="AG194" s="11">
        <v>1.8304041871651546E-2</v>
      </c>
      <c r="AH194" s="11">
        <v>0.23305283757535203</v>
      </c>
      <c r="AI194" s="11">
        <v>0.26110342282329602</v>
      </c>
      <c r="AK194" s="11">
        <f t="shared" si="50"/>
        <v>0.12567843972350179</v>
      </c>
      <c r="AL194" s="35" t="str">
        <f t="shared" si="43"/>
        <v>IoU 25</v>
      </c>
      <c r="AM194" s="35" t="str">
        <f t="shared" si="51"/>
        <v>IoU 50</v>
      </c>
    </row>
    <row r="195" spans="1:39" x14ac:dyDescent="0.2">
      <c r="C195" s="11">
        <v>0.40561323572265606</v>
      </c>
      <c r="E195" s="11" t="str">
        <f t="shared" si="41"/>
        <v>IoU 25</v>
      </c>
      <c r="G195" s="35" t="str">
        <f t="shared" si="54"/>
        <v>IoU 50</v>
      </c>
      <c r="I195" s="11">
        <v>5.0418903048766804E-2</v>
      </c>
      <c r="J195" s="11">
        <v>0.26246455224676507</v>
      </c>
      <c r="K195" s="11">
        <v>0.45820189565380365</v>
      </c>
      <c r="M195" s="11">
        <f t="shared" si="44"/>
        <v>0.15644172764776593</v>
      </c>
      <c r="N195" s="35" t="str">
        <f t="shared" si="58"/>
        <v>IoU 25</v>
      </c>
      <c r="O195" s="35" t="str">
        <f t="shared" si="45"/>
        <v>IoU 50</v>
      </c>
      <c r="Q195" s="11">
        <v>0.46455332793590687</v>
      </c>
      <c r="R195" s="11">
        <v>0.20951411068605824</v>
      </c>
      <c r="S195" s="11">
        <v>0.34051564697053177</v>
      </c>
      <c r="U195" s="11">
        <f t="shared" si="46"/>
        <v>0.33703371931098258</v>
      </c>
      <c r="V195" s="35" t="str">
        <f t="shared" si="42"/>
        <v>IoU 50</v>
      </c>
      <c r="W195" s="35" t="str">
        <f t="shared" si="47"/>
        <v>IoU 50</v>
      </c>
      <c r="Y195" s="11">
        <v>0.36384807719355938</v>
      </c>
      <c r="Z195" s="11">
        <v>0.31346516736043462</v>
      </c>
      <c r="AA195" s="11">
        <v>0.30457050942905867</v>
      </c>
      <c r="AC195" s="11">
        <f t="shared" si="48"/>
        <v>0.338656622276997</v>
      </c>
      <c r="AD195" s="35" t="str">
        <f t="shared" si="57"/>
        <v>IoU 50</v>
      </c>
      <c r="AE195" s="35" t="str">
        <f t="shared" si="49"/>
        <v>IoU 50</v>
      </c>
      <c r="AG195" s="11">
        <v>0.38812168440244676</v>
      </c>
      <c r="AH195" s="11">
        <v>0.61224842219024511</v>
      </c>
      <c r="AI195" s="11">
        <v>0.37485132092982704</v>
      </c>
      <c r="AK195" s="11">
        <f t="shared" si="50"/>
        <v>0.50018505329634588</v>
      </c>
      <c r="AL195" s="35" t="str">
        <f t="shared" si="43"/>
        <v>IoU 75</v>
      </c>
      <c r="AM195" s="35" t="str">
        <f t="shared" si="51"/>
        <v>IoU 50</v>
      </c>
    </row>
    <row r="196" spans="1:39" x14ac:dyDescent="0.2">
      <c r="A196" s="11">
        <v>0.32134052462940538</v>
      </c>
      <c r="C196" s="11">
        <v>0.19977399993712303</v>
      </c>
      <c r="E196" s="11" t="str">
        <f t="shared" ref="E196:E212" si="59">VLOOKUP(A196,IoU_Thresholds,2,TRUE)</f>
        <v>IoU 50</v>
      </c>
      <c r="G196" s="35" t="str">
        <f t="shared" si="54"/>
        <v>IoU 25</v>
      </c>
      <c r="I196" s="11">
        <v>0.66426864744005498</v>
      </c>
      <c r="J196" s="11">
        <v>0.46503874213244201</v>
      </c>
      <c r="K196" s="11">
        <v>0.51736618122430389</v>
      </c>
      <c r="M196" s="11">
        <f t="shared" si="44"/>
        <v>0.56465369478624849</v>
      </c>
      <c r="N196" s="35" t="str">
        <f t="shared" si="58"/>
        <v>IoU 75</v>
      </c>
      <c r="O196" s="35" t="str">
        <f t="shared" si="45"/>
        <v>IoU 75</v>
      </c>
      <c r="Q196" s="11">
        <v>0.54807076757616469</v>
      </c>
      <c r="R196" s="11">
        <v>0.45447855410818871</v>
      </c>
      <c r="S196" s="11">
        <v>0.33332816929657849</v>
      </c>
      <c r="U196" s="11">
        <f t="shared" si="46"/>
        <v>0.50127466084217676</v>
      </c>
      <c r="V196" s="35" t="str">
        <f t="shared" ref="V196:V259" si="60">VLOOKUP(U196,IoU_Thresholds,2,TRUE)</f>
        <v>IoU 75</v>
      </c>
      <c r="W196" s="35" t="str">
        <f t="shared" si="47"/>
        <v>IoU 50</v>
      </c>
      <c r="Y196" s="11">
        <v>0.70451861976342589</v>
      </c>
      <c r="Z196" s="11">
        <v>0.31928407304580497</v>
      </c>
      <c r="AA196" s="11">
        <v>0.30137489859912503</v>
      </c>
      <c r="AC196" s="11">
        <f t="shared" si="48"/>
        <v>0.51190134640461538</v>
      </c>
      <c r="AD196" s="35" t="str">
        <f t="shared" si="57"/>
        <v>IoU 75</v>
      </c>
      <c r="AE196" s="35" t="str">
        <f t="shared" si="49"/>
        <v>IoU 50</v>
      </c>
      <c r="AG196" s="11">
        <v>0.39968909039546041</v>
      </c>
      <c r="AH196" s="11">
        <v>0.43009019398970971</v>
      </c>
      <c r="AI196" s="11">
        <v>0.24743479907116589</v>
      </c>
      <c r="AK196" s="11">
        <f t="shared" si="50"/>
        <v>0.41488964219258506</v>
      </c>
      <c r="AL196" s="35" t="str">
        <f t="shared" ref="AL196:AL259" si="61">VLOOKUP(AK196,IoU_Thresholds,2,TRUE)</f>
        <v>IoU 50</v>
      </c>
      <c r="AM196" s="35" t="str">
        <f t="shared" si="51"/>
        <v>IoU 25</v>
      </c>
    </row>
    <row r="197" spans="1:39" x14ac:dyDescent="0.2">
      <c r="A197" s="11">
        <v>0.34223395072565543</v>
      </c>
      <c r="C197" s="11">
        <v>0.38307123901848567</v>
      </c>
      <c r="E197" s="11" t="str">
        <f t="shared" si="59"/>
        <v>IoU 50</v>
      </c>
      <c r="G197" s="35" t="str">
        <f t="shared" si="54"/>
        <v>IoU 50</v>
      </c>
      <c r="I197" s="11">
        <v>4.3536416115212098E-2</v>
      </c>
      <c r="J197" s="11">
        <v>0.29223173221384796</v>
      </c>
      <c r="K197" s="11">
        <v>0.29883546733634903</v>
      </c>
      <c r="M197" s="11">
        <f t="shared" ref="M197:M212" si="62">(I197+J197)/2</f>
        <v>0.16788407416453002</v>
      </c>
      <c r="N197" s="35" t="str">
        <f t="shared" si="58"/>
        <v>IoU 25</v>
      </c>
      <c r="O197" s="35" t="str">
        <f t="shared" ref="O197:O213" si="63">VLOOKUP(K197,IoU_Thresholds,2,TRUE)</f>
        <v>IoU 50</v>
      </c>
      <c r="Q197" s="11">
        <v>0.35282441572173895</v>
      </c>
      <c r="R197" s="11">
        <v>0.21875311688233828</v>
      </c>
      <c r="S197" s="11">
        <v>0.44824245195246609</v>
      </c>
      <c r="U197" s="11">
        <f t="shared" ref="U197:U212" si="64">(Q197+R197)/2</f>
        <v>0.28578876630203864</v>
      </c>
      <c r="V197" s="35" t="str">
        <f t="shared" si="60"/>
        <v>IoU 50</v>
      </c>
      <c r="W197" s="35" t="str">
        <f t="shared" ref="W197:W213" si="65">VLOOKUP(S197,IoU_Thresholds,2,TRUE)</f>
        <v>IoU 50</v>
      </c>
      <c r="Y197" s="11">
        <v>0.2090837882026568</v>
      </c>
      <c r="Z197" s="11">
        <v>0.44613291769517449</v>
      </c>
      <c r="AA197" s="11">
        <v>0.27667236749311347</v>
      </c>
      <c r="AC197" s="11">
        <f t="shared" ref="AC197:AC213" si="66">(Y197+Z197)/2</f>
        <v>0.32760835294891566</v>
      </c>
      <c r="AD197" s="35" t="str">
        <f t="shared" si="57"/>
        <v>IoU 50</v>
      </c>
      <c r="AE197" s="35" t="str">
        <f t="shared" ref="AE197:AE213" si="67">VLOOKUP(AA197,IoU_Thresholds,2,TRUE)</f>
        <v>IoU 50</v>
      </c>
      <c r="AG197" s="11">
        <v>0.38896639142311262</v>
      </c>
      <c r="AH197" s="11">
        <v>0.16659956842410384</v>
      </c>
      <c r="AI197" s="11">
        <v>0.37619172369208298</v>
      </c>
      <c r="AK197" s="11">
        <f t="shared" ref="AK197:AK212" si="68">(AG197+AH197)/2</f>
        <v>0.27778297992360823</v>
      </c>
      <c r="AL197" s="35" t="str">
        <f t="shared" si="61"/>
        <v>IoU 50</v>
      </c>
      <c r="AM197" s="35" t="str">
        <f t="shared" ref="AM197:AM213" si="69">VLOOKUP(AI197,IoU_Thresholds,2,TRUE)</f>
        <v>IoU 50</v>
      </c>
    </row>
    <row r="198" spans="1:39" x14ac:dyDescent="0.2">
      <c r="A198" s="11">
        <v>0.16060321558502524</v>
      </c>
      <c r="C198" s="11">
        <v>0.16440258998189666</v>
      </c>
      <c r="E198" s="11" t="str">
        <f t="shared" si="59"/>
        <v>IoU 25</v>
      </c>
      <c r="G198" s="35" t="str">
        <f t="shared" si="54"/>
        <v>IoU 25</v>
      </c>
      <c r="I198" s="11">
        <v>0.2461817916774994</v>
      </c>
      <c r="J198" s="11">
        <v>0.45774152991998285</v>
      </c>
      <c r="K198" s="11">
        <v>0.59933972862040585</v>
      </c>
      <c r="M198" s="11">
        <f t="shared" si="62"/>
        <v>0.35196166079874114</v>
      </c>
      <c r="N198" s="35" t="str">
        <f t="shared" si="58"/>
        <v>IoU 50</v>
      </c>
      <c r="O198" s="35" t="str">
        <f t="shared" si="63"/>
        <v>IoU 75</v>
      </c>
      <c r="Q198" s="11">
        <v>8.0142939476169822E-2</v>
      </c>
      <c r="R198" s="11">
        <v>0.41513219273093049</v>
      </c>
      <c r="S198" s="11">
        <v>0.50490416968829988</v>
      </c>
      <c r="U198" s="11">
        <f t="shared" si="64"/>
        <v>0.24763756610355014</v>
      </c>
      <c r="V198" s="35" t="str">
        <f t="shared" si="60"/>
        <v>IoU 25</v>
      </c>
      <c r="W198" s="35" t="str">
        <f t="shared" si="65"/>
        <v>IoU 75</v>
      </c>
      <c r="Y198" s="11">
        <v>0.18834461832382771</v>
      </c>
      <c r="Z198" s="11">
        <v>0.44544329256165932</v>
      </c>
      <c r="AA198" s="11">
        <v>0.38877245248462722</v>
      </c>
      <c r="AC198" s="11">
        <f t="shared" si="66"/>
        <v>0.31689395544274351</v>
      </c>
      <c r="AD198" s="35" t="str">
        <f t="shared" si="57"/>
        <v>IoU 50</v>
      </c>
      <c r="AE198" s="35" t="str">
        <f t="shared" si="67"/>
        <v>IoU 50</v>
      </c>
      <c r="AG198" s="11">
        <v>7.9267237125732984E-2</v>
      </c>
      <c r="AH198" s="11">
        <v>0.43309425215914515</v>
      </c>
      <c r="AI198" s="11">
        <v>0.38558599206862354</v>
      </c>
      <c r="AK198" s="11">
        <f t="shared" si="68"/>
        <v>0.25618074464243906</v>
      </c>
      <c r="AL198" s="35" t="str">
        <f t="shared" si="61"/>
        <v>IoU 50</v>
      </c>
      <c r="AM198" s="35" t="str">
        <f t="shared" si="69"/>
        <v>IoU 50</v>
      </c>
    </row>
    <row r="199" spans="1:39" x14ac:dyDescent="0.2">
      <c r="A199" s="11">
        <v>0.40191266475174586</v>
      </c>
      <c r="C199" s="11">
        <v>0.52760037365107504</v>
      </c>
      <c r="E199" s="11" t="str">
        <f t="shared" si="59"/>
        <v>IoU 50</v>
      </c>
      <c r="G199" s="35" t="str">
        <f t="shared" si="54"/>
        <v>IoU 75</v>
      </c>
      <c r="I199" s="11">
        <v>5.923209580036902E-2</v>
      </c>
      <c r="J199" s="11">
        <v>0.35711381421584354</v>
      </c>
      <c r="K199" s="11">
        <v>0.40691533986891792</v>
      </c>
      <c r="M199" s="11">
        <f t="shared" si="62"/>
        <v>0.20817295500810629</v>
      </c>
      <c r="N199" s="35" t="str">
        <f t="shared" si="58"/>
        <v>IoU 25</v>
      </c>
      <c r="O199" s="35" t="str">
        <f t="shared" si="63"/>
        <v>IoU 50</v>
      </c>
      <c r="R199" s="11">
        <v>0.45232270788252038</v>
      </c>
      <c r="S199" s="11">
        <v>0.43672863723751276</v>
      </c>
      <c r="U199" s="11">
        <v>0.45232270788252038</v>
      </c>
      <c r="V199" s="35" t="str">
        <f t="shared" si="60"/>
        <v>IoU 50</v>
      </c>
      <c r="W199" s="35" t="str">
        <f t="shared" si="65"/>
        <v>IoU 50</v>
      </c>
      <c r="Y199" s="11">
        <v>0</v>
      </c>
      <c r="Z199" s="11">
        <v>0.20977223673747586</v>
      </c>
      <c r="AA199" s="11">
        <v>0.48329570319436677</v>
      </c>
      <c r="AC199" s="11">
        <f t="shared" si="66"/>
        <v>0.10488611836873793</v>
      </c>
      <c r="AD199" s="35" t="str">
        <f t="shared" si="57"/>
        <v>IoU 25</v>
      </c>
      <c r="AE199" s="35" t="str">
        <f t="shared" si="67"/>
        <v>IoU 50</v>
      </c>
      <c r="AG199" s="11">
        <v>0.61745422464543798</v>
      </c>
      <c r="AH199" s="11">
        <v>0.41172133205920852</v>
      </c>
      <c r="AI199" s="11">
        <v>0.49483741043305174</v>
      </c>
      <c r="AK199" s="11">
        <f t="shared" si="68"/>
        <v>0.51458777835232328</v>
      </c>
      <c r="AL199" s="35" t="str">
        <f t="shared" si="61"/>
        <v>IoU 75</v>
      </c>
      <c r="AM199" s="35" t="str">
        <f t="shared" si="69"/>
        <v>IoU 50</v>
      </c>
    </row>
    <row r="200" spans="1:39" x14ac:dyDescent="0.2">
      <c r="C200" s="11">
        <v>4.2526244293249832E-2</v>
      </c>
      <c r="E200" s="11" t="str">
        <f t="shared" si="59"/>
        <v>IoU 25</v>
      </c>
      <c r="G200" s="35" t="str">
        <f t="shared" si="54"/>
        <v>IoU 25</v>
      </c>
      <c r="J200" s="11">
        <v>0</v>
      </c>
      <c r="K200" s="11">
        <v>0.28721266194480322</v>
      </c>
      <c r="M200" s="11">
        <v>0</v>
      </c>
      <c r="N200" s="35" t="str">
        <f t="shared" si="58"/>
        <v>IoU 25</v>
      </c>
      <c r="O200" s="35" t="str">
        <f t="shared" si="63"/>
        <v>IoU 50</v>
      </c>
      <c r="R200" s="11">
        <v>0.39804486826033336</v>
      </c>
      <c r="S200" s="11">
        <v>0.37207912710549279</v>
      </c>
      <c r="U200" s="11">
        <v>0.39804486826033336</v>
      </c>
      <c r="V200" s="35" t="str">
        <f t="shared" si="60"/>
        <v>IoU 50</v>
      </c>
      <c r="W200" s="35" t="str">
        <f t="shared" si="65"/>
        <v>IoU 50</v>
      </c>
      <c r="Y200" s="11">
        <v>0.21890549128133135</v>
      </c>
      <c r="Z200" s="11">
        <v>0.75609081463938643</v>
      </c>
      <c r="AA200" s="11">
        <v>0.49542880789374638</v>
      </c>
      <c r="AC200" s="11">
        <f t="shared" si="66"/>
        <v>0.48749815296035892</v>
      </c>
      <c r="AD200" s="35" t="str">
        <f t="shared" si="57"/>
        <v>IoU 50</v>
      </c>
      <c r="AE200" s="35" t="str">
        <f t="shared" si="67"/>
        <v>IoU 50</v>
      </c>
      <c r="AG200" s="11">
        <v>0.73109036880517975</v>
      </c>
      <c r="AH200" s="11">
        <v>0.19250614382042694</v>
      </c>
      <c r="AI200" s="11">
        <v>0.3365148578286829</v>
      </c>
      <c r="AK200" s="11">
        <f t="shared" si="68"/>
        <v>0.46179825631280336</v>
      </c>
      <c r="AL200" s="35" t="str">
        <f t="shared" si="61"/>
        <v>IoU 50</v>
      </c>
      <c r="AM200" s="35" t="str">
        <f t="shared" si="69"/>
        <v>IoU 50</v>
      </c>
    </row>
    <row r="201" spans="1:39" x14ac:dyDescent="0.2">
      <c r="E201" s="11" t="str">
        <f t="shared" si="59"/>
        <v>IoU 25</v>
      </c>
      <c r="G201" s="35" t="str">
        <f t="shared" si="54"/>
        <v>IoU 25</v>
      </c>
      <c r="I201" s="11">
        <v>0.43798942637927846</v>
      </c>
      <c r="J201" s="11">
        <v>4.3931059024045219E-2</v>
      </c>
      <c r="M201" s="11">
        <f t="shared" si="62"/>
        <v>0.24096024270166183</v>
      </c>
      <c r="N201" s="35" t="str">
        <f t="shared" si="58"/>
        <v>IoU 25</v>
      </c>
      <c r="O201" s="35"/>
      <c r="Q201" s="11">
        <v>0.13686578929349721</v>
      </c>
      <c r="U201" s="11">
        <v>0.13686578929349721</v>
      </c>
      <c r="V201" s="35" t="str">
        <f t="shared" si="60"/>
        <v>IoU 25</v>
      </c>
      <c r="W201" s="35"/>
      <c r="AD201" s="35"/>
      <c r="AE201" s="35"/>
      <c r="AG201" s="11">
        <v>0.41033158522103141</v>
      </c>
      <c r="AI201" s="11">
        <v>0.48848027799417587</v>
      </c>
      <c r="AK201" s="11">
        <v>0.41033158522103141</v>
      </c>
      <c r="AL201" s="35" t="str">
        <f t="shared" si="61"/>
        <v>IoU 50</v>
      </c>
      <c r="AM201" s="35" t="str">
        <f t="shared" si="69"/>
        <v>IoU 50</v>
      </c>
    </row>
    <row r="202" spans="1:39" x14ac:dyDescent="0.2">
      <c r="C202" s="11">
        <v>0.30991042756025744</v>
      </c>
      <c r="E202" s="11" t="str">
        <f t="shared" si="59"/>
        <v>IoU 25</v>
      </c>
      <c r="G202" s="35" t="str">
        <f t="shared" si="54"/>
        <v>IoU 50</v>
      </c>
      <c r="I202" s="11">
        <v>0.21709098912790414</v>
      </c>
      <c r="J202" s="11">
        <v>0.48350958434851676</v>
      </c>
      <c r="K202" s="11">
        <v>0.44532077440554257</v>
      </c>
      <c r="M202" s="11">
        <f t="shared" si="62"/>
        <v>0.35030028673821045</v>
      </c>
      <c r="N202" s="35" t="str">
        <f t="shared" si="58"/>
        <v>IoU 50</v>
      </c>
      <c r="O202" s="35" t="str">
        <f t="shared" si="63"/>
        <v>IoU 50</v>
      </c>
      <c r="Q202" s="11">
        <v>0.38383773616042072</v>
      </c>
      <c r="R202" s="11">
        <v>0.6964732972972647</v>
      </c>
      <c r="S202" s="11">
        <v>0.33294137183236405</v>
      </c>
      <c r="U202" s="11">
        <f t="shared" si="64"/>
        <v>0.54015551672884277</v>
      </c>
      <c r="V202" s="35" t="str">
        <f t="shared" si="60"/>
        <v>IoU 75</v>
      </c>
      <c r="W202" s="35" t="str">
        <f t="shared" si="65"/>
        <v>IoU 50</v>
      </c>
      <c r="Y202" s="11">
        <v>0.17571366414370412</v>
      </c>
      <c r="AA202" s="11">
        <v>0.4593039894637011</v>
      </c>
      <c r="AC202" s="11">
        <v>0.17571366414370412</v>
      </c>
      <c r="AD202" s="35" t="str">
        <f t="shared" ref="AD202:AD213" si="70">VLOOKUP(AC202,IoU_Thresholds,2,TRUE)</f>
        <v>IoU 25</v>
      </c>
      <c r="AE202" s="35" t="str">
        <f t="shared" si="67"/>
        <v>IoU 50</v>
      </c>
      <c r="AG202" s="11">
        <v>0</v>
      </c>
      <c r="AH202" s="11">
        <v>0.2596995158147426</v>
      </c>
      <c r="AI202" s="11">
        <v>0.37589452707633342</v>
      </c>
      <c r="AK202" s="11">
        <f t="shared" si="68"/>
        <v>0.1298497579073713</v>
      </c>
      <c r="AL202" s="35" t="str">
        <f t="shared" si="61"/>
        <v>IoU 25</v>
      </c>
      <c r="AM202" s="35" t="str">
        <f t="shared" si="69"/>
        <v>IoU 50</v>
      </c>
    </row>
    <row r="203" spans="1:39" x14ac:dyDescent="0.2">
      <c r="A203" s="11">
        <v>0.4008814560790066</v>
      </c>
      <c r="C203" s="11">
        <v>0.46930400728367866</v>
      </c>
      <c r="E203" s="11" t="str">
        <f t="shared" si="59"/>
        <v>IoU 50</v>
      </c>
      <c r="G203" s="35" t="str">
        <f t="shared" si="54"/>
        <v>IoU 50</v>
      </c>
      <c r="I203" s="11">
        <v>0.46932529482987551</v>
      </c>
      <c r="J203" s="11">
        <v>0.31608667421858794</v>
      </c>
      <c r="K203" s="11">
        <v>0.31986625049548073</v>
      </c>
      <c r="M203" s="11">
        <f t="shared" si="62"/>
        <v>0.39270598452423172</v>
      </c>
      <c r="N203" s="35" t="str">
        <f t="shared" si="58"/>
        <v>IoU 50</v>
      </c>
      <c r="O203" s="35" t="str">
        <f t="shared" si="63"/>
        <v>IoU 50</v>
      </c>
      <c r="Q203" s="11">
        <v>0.20172541465423124</v>
      </c>
      <c r="R203" s="11">
        <v>0.42663711095743606</v>
      </c>
      <c r="S203" s="11">
        <v>0.41435825986392771</v>
      </c>
      <c r="U203" s="11">
        <f t="shared" si="64"/>
        <v>0.31418126280583364</v>
      </c>
      <c r="V203" s="35" t="str">
        <f t="shared" si="60"/>
        <v>IoU 50</v>
      </c>
      <c r="W203" s="35" t="str">
        <f t="shared" si="65"/>
        <v>IoU 50</v>
      </c>
      <c r="Y203" s="11">
        <v>0.12718195375928867</v>
      </c>
      <c r="Z203" s="11">
        <v>0.73458309221842</v>
      </c>
      <c r="AA203" s="11">
        <v>0.28114283379845562</v>
      </c>
      <c r="AC203" s="11">
        <f t="shared" si="66"/>
        <v>0.43088252298885432</v>
      </c>
      <c r="AD203" s="35" t="str">
        <f t="shared" si="70"/>
        <v>IoU 50</v>
      </c>
      <c r="AE203" s="35" t="str">
        <f t="shared" si="67"/>
        <v>IoU 50</v>
      </c>
      <c r="AG203" s="11">
        <v>3.5690724159829719E-2</v>
      </c>
      <c r="AH203" s="11">
        <v>0.46015952047210629</v>
      </c>
      <c r="AI203" s="11">
        <v>0.29486990166626093</v>
      </c>
      <c r="AK203" s="11">
        <f t="shared" si="68"/>
        <v>0.247925122315968</v>
      </c>
      <c r="AL203" s="35" t="str">
        <f t="shared" si="61"/>
        <v>IoU 25</v>
      </c>
      <c r="AM203" s="35" t="str">
        <f t="shared" si="69"/>
        <v>IoU 50</v>
      </c>
    </row>
    <row r="204" spans="1:39" x14ac:dyDescent="0.2">
      <c r="A204" s="11">
        <v>0.21762904636920385</v>
      </c>
      <c r="C204" s="11">
        <v>0.29365308938429119</v>
      </c>
      <c r="E204" s="11" t="str">
        <f t="shared" si="59"/>
        <v>IoU 25</v>
      </c>
      <c r="G204" s="35" t="str">
        <f t="shared" si="54"/>
        <v>IoU 50</v>
      </c>
      <c r="J204" s="11">
        <v>0.47619620052259626</v>
      </c>
      <c r="K204" s="11">
        <v>0.25223555004776127</v>
      </c>
      <c r="M204" s="11">
        <v>0.47619620052259626</v>
      </c>
      <c r="N204" s="35" t="str">
        <f t="shared" si="58"/>
        <v>IoU 50</v>
      </c>
      <c r="O204" s="35" t="str">
        <f t="shared" si="63"/>
        <v>IoU 50</v>
      </c>
      <c r="Q204" s="11">
        <v>0.40393710998678312</v>
      </c>
      <c r="R204" s="11">
        <v>0.19404776663761375</v>
      </c>
      <c r="S204" s="11">
        <v>0.47870488468807559</v>
      </c>
      <c r="U204" s="11">
        <f t="shared" si="64"/>
        <v>0.29899243831219846</v>
      </c>
      <c r="V204" s="35" t="str">
        <f t="shared" si="60"/>
        <v>IoU 50</v>
      </c>
      <c r="W204" s="35" t="str">
        <f t="shared" si="65"/>
        <v>IoU 50</v>
      </c>
      <c r="Y204" s="11">
        <v>0.11307840616966582</v>
      </c>
      <c r="Z204" s="11">
        <v>0.78280403493426887</v>
      </c>
      <c r="AA204" s="11">
        <v>0.35764422137491458</v>
      </c>
      <c r="AC204" s="11">
        <f t="shared" si="66"/>
        <v>0.44794122055196733</v>
      </c>
      <c r="AD204" s="35" t="str">
        <f t="shared" si="70"/>
        <v>IoU 50</v>
      </c>
      <c r="AE204" s="35" t="str">
        <f t="shared" si="67"/>
        <v>IoU 50</v>
      </c>
      <c r="AG204" s="11">
        <v>0.79769337834541476</v>
      </c>
      <c r="AH204" s="11">
        <v>0.43698205938512336</v>
      </c>
      <c r="AI204" s="11">
        <v>0.41761200172919266</v>
      </c>
      <c r="AK204" s="11">
        <f t="shared" si="68"/>
        <v>0.61733771886526911</v>
      </c>
      <c r="AL204" s="35" t="str">
        <f t="shared" si="61"/>
        <v>IoU 75</v>
      </c>
      <c r="AM204" s="35" t="str">
        <f t="shared" si="69"/>
        <v>IoU 50</v>
      </c>
    </row>
    <row r="205" spans="1:39" x14ac:dyDescent="0.2">
      <c r="A205" s="11">
        <v>0.38758769863688158</v>
      </c>
      <c r="C205" s="11">
        <v>0.475403879030183</v>
      </c>
      <c r="E205" s="11" t="str">
        <f t="shared" si="59"/>
        <v>IoU 50</v>
      </c>
      <c r="G205" s="35" t="str">
        <f t="shared" si="54"/>
        <v>IoU 50</v>
      </c>
      <c r="I205" s="11">
        <v>0.53319289360410804</v>
      </c>
      <c r="J205" s="11">
        <v>0.43302870183806896</v>
      </c>
      <c r="K205" s="11">
        <v>0.46505368759568477</v>
      </c>
      <c r="M205" s="11">
        <f t="shared" si="62"/>
        <v>0.4831107977210885</v>
      </c>
      <c r="N205" s="35" t="str">
        <f t="shared" si="58"/>
        <v>IoU 50</v>
      </c>
      <c r="O205" s="35" t="str">
        <f t="shared" si="63"/>
        <v>IoU 50</v>
      </c>
      <c r="Q205" s="11">
        <v>1.5084233300088861E-2</v>
      </c>
      <c r="R205" s="11">
        <v>0.23502725220933912</v>
      </c>
      <c r="S205" s="11">
        <v>0.36489901511132306</v>
      </c>
      <c r="U205" s="11">
        <f t="shared" si="64"/>
        <v>0.12505574275471398</v>
      </c>
      <c r="V205" s="35" t="str">
        <f t="shared" si="60"/>
        <v>IoU 25</v>
      </c>
      <c r="W205" s="35" t="str">
        <f t="shared" si="65"/>
        <v>IoU 50</v>
      </c>
      <c r="Y205" s="11">
        <v>0</v>
      </c>
      <c r="Z205" s="11">
        <v>0.78843126595391277</v>
      </c>
      <c r="AA205" s="11">
        <v>0.51650627065089572</v>
      </c>
      <c r="AC205" s="11">
        <f t="shared" si="66"/>
        <v>0.39421563297695639</v>
      </c>
      <c r="AD205" s="35" t="str">
        <f t="shared" si="70"/>
        <v>IoU 50</v>
      </c>
      <c r="AE205" s="35" t="str">
        <f t="shared" si="67"/>
        <v>IoU 75</v>
      </c>
      <c r="AG205" s="11">
        <v>0</v>
      </c>
      <c r="AH205" s="11">
        <v>0.39488765242137353</v>
      </c>
      <c r="AI205" s="11">
        <v>0.22350327713248982</v>
      </c>
      <c r="AK205" s="11">
        <f t="shared" si="68"/>
        <v>0.19744382621068676</v>
      </c>
      <c r="AL205" s="35" t="str">
        <f t="shared" si="61"/>
        <v>IoU 25</v>
      </c>
      <c r="AM205" s="35" t="str">
        <f t="shared" si="69"/>
        <v>IoU 25</v>
      </c>
    </row>
    <row r="206" spans="1:39" x14ac:dyDescent="0.2">
      <c r="A206" s="11">
        <v>0.47172408102781582</v>
      </c>
      <c r="C206" s="11">
        <v>6.7823160040906494E-2</v>
      </c>
      <c r="E206" s="11" t="str">
        <f t="shared" si="59"/>
        <v>IoU 50</v>
      </c>
      <c r="G206" s="35" t="str">
        <f t="shared" si="54"/>
        <v>IoU 25</v>
      </c>
      <c r="J206" s="11">
        <v>0.55717648020143318</v>
      </c>
      <c r="K206" s="11">
        <v>7.9995255140399291E-2</v>
      </c>
      <c r="M206" s="11">
        <v>0.55717648020143318</v>
      </c>
      <c r="N206" s="35" t="str">
        <f t="shared" si="58"/>
        <v>IoU 75</v>
      </c>
      <c r="O206" s="35" t="str">
        <f t="shared" si="63"/>
        <v>IoU 25</v>
      </c>
      <c r="Q206" s="11">
        <v>0.20475394226925725</v>
      </c>
      <c r="R206" s="11">
        <v>0.39129557585280317</v>
      </c>
      <c r="S206" s="11">
        <v>0.17862903107589445</v>
      </c>
      <c r="U206" s="11">
        <f t="shared" si="64"/>
        <v>0.29802475906103021</v>
      </c>
      <c r="V206" s="35" t="str">
        <f t="shared" si="60"/>
        <v>IoU 50</v>
      </c>
      <c r="W206" s="35" t="str">
        <f t="shared" si="65"/>
        <v>IoU 25</v>
      </c>
      <c r="Y206" s="11">
        <v>0.14957551802026295</v>
      </c>
      <c r="Z206" s="11">
        <v>0.74283525298554653</v>
      </c>
      <c r="AA206" s="11">
        <v>0.46249334245264562</v>
      </c>
      <c r="AC206" s="11">
        <f t="shared" si="66"/>
        <v>0.44620538550290473</v>
      </c>
      <c r="AD206" s="35" t="str">
        <f t="shared" si="70"/>
        <v>IoU 50</v>
      </c>
      <c r="AE206" s="35" t="str">
        <f t="shared" si="67"/>
        <v>IoU 50</v>
      </c>
      <c r="AG206" s="11">
        <v>8.468624219995137E-2</v>
      </c>
      <c r="AH206" s="11">
        <v>0.12221279222282232</v>
      </c>
      <c r="AI206" s="11">
        <v>0.26459411819516515</v>
      </c>
      <c r="AK206" s="11">
        <f t="shared" si="68"/>
        <v>0.10344951721138684</v>
      </c>
      <c r="AL206" s="35" t="str">
        <f t="shared" si="61"/>
        <v>IoU 25</v>
      </c>
      <c r="AM206" s="35" t="str">
        <f t="shared" si="69"/>
        <v>IoU 50</v>
      </c>
    </row>
    <row r="207" spans="1:39" x14ac:dyDescent="0.2">
      <c r="A207" s="11">
        <v>0.59935576698371595</v>
      </c>
      <c r="C207" s="11">
        <v>0.41705626675465396</v>
      </c>
      <c r="E207" s="11" t="str">
        <f t="shared" si="59"/>
        <v>IoU 75</v>
      </c>
      <c r="G207" s="35" t="str">
        <f t="shared" si="54"/>
        <v>IoU 50</v>
      </c>
      <c r="I207" s="11">
        <v>6.501011268419532E-2</v>
      </c>
      <c r="J207" s="11">
        <v>0.43048698772763416</v>
      </c>
      <c r="K207" s="11">
        <v>0.52909926587269063</v>
      </c>
      <c r="M207" s="11">
        <f t="shared" si="62"/>
        <v>0.24774855020591474</v>
      </c>
      <c r="N207" s="35" t="str">
        <f t="shared" si="58"/>
        <v>IoU 25</v>
      </c>
      <c r="O207" s="35" t="str">
        <f t="shared" si="63"/>
        <v>IoU 75</v>
      </c>
      <c r="Q207" s="11">
        <v>0.25502758981452406</v>
      </c>
      <c r="R207" s="11">
        <v>0.39573261725770759</v>
      </c>
      <c r="S207" s="11">
        <v>7.3712155445097155E-2</v>
      </c>
      <c r="U207" s="11">
        <f t="shared" si="64"/>
        <v>0.32538010353611579</v>
      </c>
      <c r="V207" s="35" t="str">
        <f t="shared" si="60"/>
        <v>IoU 50</v>
      </c>
      <c r="W207" s="35" t="str">
        <f t="shared" si="65"/>
        <v>IoU 25</v>
      </c>
      <c r="Y207" s="11">
        <v>0.31575594292531323</v>
      </c>
      <c r="Z207" s="11">
        <v>0.42607745383707163</v>
      </c>
      <c r="AA207" s="11">
        <v>0.26788464420021313</v>
      </c>
      <c r="AC207" s="11">
        <f t="shared" si="66"/>
        <v>0.37091669838119246</v>
      </c>
      <c r="AD207" s="35" t="str">
        <f t="shared" si="70"/>
        <v>IoU 50</v>
      </c>
      <c r="AE207" s="35" t="str">
        <f t="shared" si="67"/>
        <v>IoU 50</v>
      </c>
      <c r="AG207" s="11">
        <v>0</v>
      </c>
      <c r="AH207" s="11">
        <v>0.60002251418801544</v>
      </c>
      <c r="AI207" s="11">
        <v>0.4831739045257345</v>
      </c>
      <c r="AK207" s="11">
        <f t="shared" si="68"/>
        <v>0.30001125709400772</v>
      </c>
      <c r="AL207" s="35" t="str">
        <f t="shared" si="61"/>
        <v>IoU 50</v>
      </c>
      <c r="AM207" s="35" t="str">
        <f t="shared" si="69"/>
        <v>IoU 50</v>
      </c>
    </row>
    <row r="208" spans="1:39" x14ac:dyDescent="0.2">
      <c r="A208" s="11">
        <v>0.73258451350943354</v>
      </c>
      <c r="C208" s="11">
        <v>0.28496853484706441</v>
      </c>
      <c r="E208" s="11" t="str">
        <f t="shared" si="59"/>
        <v>IoU 75</v>
      </c>
      <c r="G208" s="35" t="str">
        <f t="shared" si="54"/>
        <v>IoU 50</v>
      </c>
      <c r="I208" s="11">
        <v>0.36394470823523051</v>
      </c>
      <c r="J208" s="11">
        <v>0.83929967118615256</v>
      </c>
      <c r="K208" s="11">
        <v>0.33134304929715275</v>
      </c>
      <c r="M208" s="11">
        <f t="shared" si="62"/>
        <v>0.60162218971069148</v>
      </c>
      <c r="N208" s="35" t="str">
        <f t="shared" si="58"/>
        <v>IoU 75</v>
      </c>
      <c r="O208" s="35" t="str">
        <f t="shared" si="63"/>
        <v>IoU 50</v>
      </c>
      <c r="Q208" s="11">
        <v>0.43122373932647479</v>
      </c>
      <c r="R208" s="11">
        <v>0.27639735548520983</v>
      </c>
      <c r="S208" s="11">
        <v>0.52765506686933916</v>
      </c>
      <c r="U208" s="11">
        <f t="shared" si="64"/>
        <v>0.35381054740584228</v>
      </c>
      <c r="V208" s="35" t="str">
        <f t="shared" si="60"/>
        <v>IoU 50</v>
      </c>
      <c r="W208" s="35" t="str">
        <f t="shared" si="65"/>
        <v>IoU 75</v>
      </c>
      <c r="Y208" s="11">
        <v>0.1520349505633479</v>
      </c>
      <c r="Z208" s="11">
        <v>0.40979148278182737</v>
      </c>
      <c r="AA208" s="11">
        <v>0.38699911379054242</v>
      </c>
      <c r="AC208" s="11">
        <f t="shared" si="66"/>
        <v>0.28091321667258762</v>
      </c>
      <c r="AD208" s="35" t="str">
        <f t="shared" si="70"/>
        <v>IoU 50</v>
      </c>
      <c r="AE208" s="35" t="str">
        <f t="shared" si="67"/>
        <v>IoU 50</v>
      </c>
      <c r="AG208" s="11">
        <v>0.20649304501370813</v>
      </c>
      <c r="AI208" s="11">
        <v>0.31072549246355635</v>
      </c>
      <c r="AK208" s="11">
        <v>0.20649304501370813</v>
      </c>
      <c r="AL208" s="35" t="str">
        <f t="shared" si="61"/>
        <v>IoU 25</v>
      </c>
      <c r="AM208" s="35" t="str">
        <f t="shared" si="69"/>
        <v>IoU 50</v>
      </c>
    </row>
    <row r="209" spans="1:39" x14ac:dyDescent="0.2">
      <c r="A209" s="11">
        <v>0.27950686119888191</v>
      </c>
      <c r="C209" s="11">
        <v>0.33499593458523602</v>
      </c>
      <c r="E209" s="11" t="str">
        <f t="shared" si="59"/>
        <v>IoU 50</v>
      </c>
      <c r="G209" s="35" t="str">
        <f t="shared" si="54"/>
        <v>IoU 50</v>
      </c>
      <c r="I209" s="11">
        <v>0.16775719819432111</v>
      </c>
      <c r="J209" s="11">
        <v>0.19895394450094436</v>
      </c>
      <c r="K209" s="11">
        <v>0.356793558359014</v>
      </c>
      <c r="M209" s="11">
        <f t="shared" si="62"/>
        <v>0.18335557134763275</v>
      </c>
      <c r="N209" s="35" t="str">
        <f t="shared" si="58"/>
        <v>IoU 25</v>
      </c>
      <c r="O209" s="35" t="str">
        <f t="shared" si="63"/>
        <v>IoU 50</v>
      </c>
      <c r="Q209" s="11">
        <v>0.41909327927854156</v>
      </c>
      <c r="R209" s="11">
        <v>0.70522627358414258</v>
      </c>
      <c r="S209" s="11">
        <v>0.47665808963401324</v>
      </c>
      <c r="U209" s="11">
        <f t="shared" si="64"/>
        <v>0.56215977643134207</v>
      </c>
      <c r="V209" s="35" t="str">
        <f t="shared" si="60"/>
        <v>IoU 75</v>
      </c>
      <c r="W209" s="35" t="str">
        <f t="shared" si="65"/>
        <v>IoU 50</v>
      </c>
      <c r="Y209" s="11">
        <v>0.19484291646800087</v>
      </c>
      <c r="Z209" s="11">
        <v>0.55104123706634411</v>
      </c>
      <c r="AA209" s="11">
        <v>0.47687036660518906</v>
      </c>
      <c r="AC209" s="11">
        <f t="shared" si="66"/>
        <v>0.3729420767671725</v>
      </c>
      <c r="AD209" s="35" t="str">
        <f t="shared" si="70"/>
        <v>IoU 50</v>
      </c>
      <c r="AE209" s="35" t="str">
        <f t="shared" si="67"/>
        <v>IoU 50</v>
      </c>
      <c r="AG209" s="11">
        <v>0</v>
      </c>
      <c r="AH209" s="11">
        <v>0.43106262787017358</v>
      </c>
      <c r="AI209" s="11">
        <v>0.50018924404694176</v>
      </c>
      <c r="AK209" s="11">
        <f t="shared" si="68"/>
        <v>0.21553131393508679</v>
      </c>
      <c r="AL209" s="35" t="str">
        <f t="shared" si="61"/>
        <v>IoU 25</v>
      </c>
      <c r="AM209" s="35" t="str">
        <f t="shared" si="69"/>
        <v>IoU 75</v>
      </c>
    </row>
    <row r="210" spans="1:39" x14ac:dyDescent="0.2">
      <c r="A210" s="11">
        <v>0.35658729328425254</v>
      </c>
      <c r="C210" s="11">
        <v>8.6146272855133613E-2</v>
      </c>
      <c r="E210" s="11" t="str">
        <f t="shared" si="59"/>
        <v>IoU 50</v>
      </c>
      <c r="G210" s="35" t="str">
        <f t="shared" si="54"/>
        <v>IoU 25</v>
      </c>
      <c r="I210" s="11">
        <v>0.48535514498740373</v>
      </c>
      <c r="J210" s="11">
        <v>0.4213542448176949</v>
      </c>
      <c r="K210" s="11">
        <v>0.29662465513123071</v>
      </c>
      <c r="M210" s="11">
        <f t="shared" si="62"/>
        <v>0.45335469490254932</v>
      </c>
      <c r="N210" s="35" t="str">
        <f t="shared" si="58"/>
        <v>IoU 50</v>
      </c>
      <c r="O210" s="35" t="str">
        <f t="shared" si="63"/>
        <v>IoU 50</v>
      </c>
      <c r="Q210" s="11">
        <v>0.5446203786417424</v>
      </c>
      <c r="R210" s="11">
        <v>0.4324597875509224</v>
      </c>
      <c r="S210" s="11">
        <v>0.65230146966733882</v>
      </c>
      <c r="U210" s="11">
        <f t="shared" si="64"/>
        <v>0.4885400830963324</v>
      </c>
      <c r="V210" s="35" t="str">
        <f t="shared" si="60"/>
        <v>IoU 50</v>
      </c>
      <c r="W210" s="35" t="str">
        <f t="shared" si="65"/>
        <v>IoU 75</v>
      </c>
      <c r="Y210" s="11">
        <v>0.10190360790932201</v>
      </c>
      <c r="Z210" s="11">
        <v>0.34464498376688479</v>
      </c>
      <c r="AA210" s="11">
        <v>0.55178351156715033</v>
      </c>
      <c r="AC210" s="11">
        <f t="shared" si="66"/>
        <v>0.2232742958381034</v>
      </c>
      <c r="AD210" s="35" t="str">
        <f t="shared" si="70"/>
        <v>IoU 25</v>
      </c>
      <c r="AE210" s="35" t="str">
        <f t="shared" si="67"/>
        <v>IoU 75</v>
      </c>
      <c r="AG210" s="11">
        <v>0.17878856178503877</v>
      </c>
      <c r="AH210" s="11">
        <v>0.41321168781205886</v>
      </c>
      <c r="AI210" s="11">
        <v>0.1668907002063974</v>
      </c>
      <c r="AK210" s="11">
        <f t="shared" si="68"/>
        <v>0.29600012479854881</v>
      </c>
      <c r="AL210" s="35" t="str">
        <f t="shared" si="61"/>
        <v>IoU 50</v>
      </c>
      <c r="AM210" s="35" t="str">
        <f t="shared" si="69"/>
        <v>IoU 25</v>
      </c>
    </row>
    <row r="211" spans="1:39" x14ac:dyDescent="0.2">
      <c r="A211" s="11">
        <v>0.65267609967639795</v>
      </c>
      <c r="C211" s="11">
        <v>0.22515391853023309</v>
      </c>
      <c r="E211" s="11" t="str">
        <f t="shared" si="59"/>
        <v>IoU 75</v>
      </c>
      <c r="G211" s="35" t="str">
        <f t="shared" si="54"/>
        <v>IoU 25</v>
      </c>
      <c r="I211" s="11">
        <v>0.51923247501951897</v>
      </c>
      <c r="J211" s="11">
        <v>0.45350154755083194</v>
      </c>
      <c r="K211" s="11">
        <v>0.31431790710835755</v>
      </c>
      <c r="M211" s="11">
        <f t="shared" si="62"/>
        <v>0.48636701128517545</v>
      </c>
      <c r="N211" s="35" t="str">
        <f t="shared" si="58"/>
        <v>IoU 50</v>
      </c>
      <c r="O211" s="35" t="str">
        <f t="shared" si="63"/>
        <v>IoU 50</v>
      </c>
      <c r="Q211" s="11">
        <v>0.49519766755171668</v>
      </c>
      <c r="R211" s="11">
        <v>0.82084935383983093</v>
      </c>
      <c r="S211" s="11">
        <v>0.34173160945517356</v>
      </c>
      <c r="U211" s="11">
        <f t="shared" si="64"/>
        <v>0.65802351069577381</v>
      </c>
      <c r="V211" s="35" t="str">
        <f t="shared" si="60"/>
        <v>IoU 75</v>
      </c>
      <c r="W211" s="35" t="str">
        <f t="shared" si="65"/>
        <v>IoU 50</v>
      </c>
      <c r="Y211" s="11">
        <v>0.2073996376466101</v>
      </c>
      <c r="Z211" s="11">
        <v>0.45815477696703566</v>
      </c>
      <c r="AA211" s="11">
        <v>0.5093441884912624</v>
      </c>
      <c r="AC211" s="11">
        <f t="shared" si="66"/>
        <v>0.33277720730682286</v>
      </c>
      <c r="AD211" s="35" t="str">
        <f t="shared" si="70"/>
        <v>IoU 50</v>
      </c>
      <c r="AE211" s="35" t="str">
        <f t="shared" si="67"/>
        <v>IoU 75</v>
      </c>
      <c r="AG211" s="11">
        <v>0</v>
      </c>
      <c r="AH211" s="11">
        <v>0.25315721463166829</v>
      </c>
      <c r="AI211" s="11">
        <v>0.41635151650461993</v>
      </c>
      <c r="AK211" s="11">
        <f t="shared" si="68"/>
        <v>0.12657860731583415</v>
      </c>
      <c r="AL211" s="35" t="str">
        <f t="shared" si="61"/>
        <v>IoU 25</v>
      </c>
      <c r="AM211" s="35" t="str">
        <f t="shared" si="69"/>
        <v>IoU 50</v>
      </c>
    </row>
    <row r="212" spans="1:39" x14ac:dyDescent="0.2">
      <c r="A212" s="11">
        <v>0.7639496350829964</v>
      </c>
      <c r="C212" s="11">
        <v>0.23345391769233464</v>
      </c>
      <c r="E212" s="11" t="str">
        <f t="shared" si="59"/>
        <v>IoU 100</v>
      </c>
      <c r="G212" s="35" t="str">
        <f t="shared" ref="G212:G213" si="71">VLOOKUP(C212,IoU_Thresholds,2,TRUE)</f>
        <v>IoU 25</v>
      </c>
      <c r="I212" s="11">
        <v>0.39961469173827208</v>
      </c>
      <c r="J212" s="11">
        <v>0.42243627635238912</v>
      </c>
      <c r="K212" s="11">
        <v>0.36764555269902066</v>
      </c>
      <c r="M212" s="11">
        <f t="shared" si="62"/>
        <v>0.41102548404533057</v>
      </c>
      <c r="N212" s="35" t="str">
        <f t="shared" si="58"/>
        <v>IoU 50</v>
      </c>
      <c r="O212" s="35" t="str">
        <f t="shared" si="63"/>
        <v>IoU 50</v>
      </c>
      <c r="Q212" s="11">
        <v>0.3070401893334902</v>
      </c>
      <c r="R212" s="11">
        <v>0.74645129881581196</v>
      </c>
      <c r="S212" s="11">
        <v>0.3295390899023114</v>
      </c>
      <c r="U212" s="11">
        <f t="shared" si="64"/>
        <v>0.52674574407465102</v>
      </c>
      <c r="V212" s="35" t="str">
        <f t="shared" si="60"/>
        <v>IoU 75</v>
      </c>
      <c r="W212" s="35" t="str">
        <f t="shared" si="65"/>
        <v>IoU 50</v>
      </c>
      <c r="Y212" s="11">
        <v>0.19805218098335564</v>
      </c>
      <c r="Z212" s="11">
        <v>0.44892190866428738</v>
      </c>
      <c r="AA212" s="11">
        <v>0.19173610895907947</v>
      </c>
      <c r="AC212" s="11">
        <f t="shared" si="66"/>
        <v>0.32348704482382151</v>
      </c>
      <c r="AD212" s="35" t="str">
        <f t="shared" si="70"/>
        <v>IoU 50</v>
      </c>
      <c r="AE212" s="35" t="str">
        <f t="shared" si="67"/>
        <v>IoU 25</v>
      </c>
      <c r="AG212" s="11">
        <v>0.18007292414783713</v>
      </c>
      <c r="AH212" s="11">
        <v>0.64961001192740953</v>
      </c>
      <c r="AI212" s="11">
        <v>0.24072942360362165</v>
      </c>
      <c r="AK212" s="11">
        <f t="shared" si="68"/>
        <v>0.41484146803762334</v>
      </c>
      <c r="AL212" s="35" t="str">
        <f t="shared" si="61"/>
        <v>IoU 50</v>
      </c>
      <c r="AM212" s="35" t="str">
        <f t="shared" si="69"/>
        <v>IoU 25</v>
      </c>
    </row>
    <row r="213" spans="1:39" x14ac:dyDescent="0.2">
      <c r="C213" s="11">
        <v>0.28362624173470496</v>
      </c>
      <c r="G213" s="35" t="str">
        <f t="shared" si="71"/>
        <v>IoU 50</v>
      </c>
      <c r="J213" s="11">
        <v>0.5780119404484414</v>
      </c>
      <c r="K213" s="11">
        <v>0.26980788760767893</v>
      </c>
      <c r="M213" s="11">
        <v>0.5780119404484414</v>
      </c>
      <c r="N213" s="35" t="str">
        <f t="shared" si="58"/>
        <v>IoU 75</v>
      </c>
      <c r="O213" s="35" t="str">
        <f t="shared" si="63"/>
        <v>IoU 50</v>
      </c>
      <c r="R213" s="11">
        <v>0.37077582527164865</v>
      </c>
      <c r="S213" s="11">
        <v>0.38178934460313996</v>
      </c>
      <c r="U213" s="11">
        <v>0.37077582527164865</v>
      </c>
      <c r="V213" s="35" t="str">
        <f t="shared" si="60"/>
        <v>IoU 50</v>
      </c>
      <c r="W213" s="35" t="str">
        <f t="shared" si="65"/>
        <v>IoU 50</v>
      </c>
      <c r="Y213" s="11">
        <v>0.55203507505373628</v>
      </c>
      <c r="Z213" s="11">
        <v>0.7891535281556068</v>
      </c>
      <c r="AA213" s="11">
        <v>0.43432808701686565</v>
      </c>
      <c r="AC213" s="11">
        <f t="shared" si="66"/>
        <v>0.67059430160467159</v>
      </c>
      <c r="AD213" s="35" t="str">
        <f t="shared" si="70"/>
        <v>IoU 75</v>
      </c>
      <c r="AE213" s="35" t="str">
        <f t="shared" si="67"/>
        <v>IoU 50</v>
      </c>
      <c r="AH213" s="11">
        <v>0.59980294681835999</v>
      </c>
      <c r="AI213" s="11">
        <v>0.3961313669517188</v>
      </c>
      <c r="AK213" s="11">
        <v>0.59980294681835999</v>
      </c>
      <c r="AL213" s="35" t="str">
        <f t="shared" si="61"/>
        <v>IoU 75</v>
      </c>
      <c r="AM213" s="35" t="str">
        <f t="shared" si="69"/>
        <v>IoU 50</v>
      </c>
    </row>
  </sheetData>
  <mergeCells count="15">
    <mergeCell ref="AG1:AM1"/>
    <mergeCell ref="AG2:AI2"/>
    <mergeCell ref="AK2:AM2"/>
    <mergeCell ref="I1:O1"/>
    <mergeCell ref="M2:O2"/>
    <mergeCell ref="Q1:W1"/>
    <mergeCell ref="A2:C2"/>
    <mergeCell ref="I2:K2"/>
    <mergeCell ref="Q2:S2"/>
    <mergeCell ref="U2:W2"/>
    <mergeCell ref="Y1:AE1"/>
    <mergeCell ref="Y2:AA2"/>
    <mergeCell ref="AC2:AE2"/>
    <mergeCell ref="A1:G1"/>
    <mergeCell ref="D2:G2"/>
  </mergeCells>
  <conditionalFormatting sqref="E4:E215">
    <cfRule type="expression" dxfId="4" priority="5">
      <formula>OR(ISBLANK($A4),ISBLANK($B4))</formula>
    </cfRule>
  </conditionalFormatting>
  <conditionalFormatting sqref="M4:M24 M26 M29:M34 M36:M37 M39 M41:M43 M47:M52 M55:M71 M73:M75 M77:M78 M80:M91 M94:M101 M104 M106:M110 M112:M119 M121:M123 M125:M127 M129 M131:M134 M136 M138:M141 M143:M144 M147:M148 M151:M175 M177 M179:M185 M187 M189:M191 M193 M195:M199 M201:M203 M205 M207:M212 M214:M215">
    <cfRule type="expression" dxfId="3" priority="3">
      <formula>OR(ISBLANK($I4),ISBLANK($J4))</formula>
    </cfRule>
  </conditionalFormatting>
  <conditionalFormatting sqref="U4:U18 U20:U39 U42:U65 U67:U86 U88:U155 U157:U158 U160:U198 U202:U212 U214:U215">
    <cfRule type="expression" dxfId="2" priority="4">
      <formula>OR(ISBLANK($Q4),ISBLANK($R4))</formula>
    </cfRule>
  </conditionalFormatting>
  <conditionalFormatting sqref="AC4:AC6 AC8:AC9 AC11:AC13 AC16:AC24 AC27 AC30:AC33 AC36:AC37 AC39:AC44 AC46:AC53 AC55:AC60 AC62:AC66 AC68:AC72 AC74:AC76 AC78 AC80:AC84 AC86 AC88:AC92 AC94:AC96 AC99:AC102 AC104:AC105 AC107:AC112 AC114 AC116:AC119 AC121 AC123:AC124 AC126:AC130 AC132:AC136 AC138:AC140 AC142 AC144:AC146 AC148 AC150:AC155 AC157:AC158 AC160:AC161 AC163:AC165 AC167:AC169 AC171 AC173 AC175 AC177 AC179 AC185 AC187 AC189:AC192 AC195:AC201 AC203:AC215">
    <cfRule type="expression" dxfId="1" priority="2">
      <formula>OR(ISBLANK($Y4),ISBLANK($Z4))</formula>
    </cfRule>
  </conditionalFormatting>
  <conditionalFormatting sqref="AK4:AK40 AK42:AK48 AK50:AK127 AK129:AK134 AK136:AK200 AK202:AK207 AK209:AK212 AK214:AK215">
    <cfRule type="expression" dxfId="0" priority="1">
      <formula>OR(ISBLANK($AG4),ISBLANK($AH4))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8"/>
  <sheetViews>
    <sheetView topLeftCell="J1" zoomScale="102" workbookViewId="0">
      <pane ySplit="3" topLeftCell="A320" activePane="bottomLeft" state="frozen"/>
      <selection pane="bottomLeft" activeCell="M320" sqref="M320:O320"/>
    </sheetView>
  </sheetViews>
  <sheetFormatPr defaultRowHeight="12.75" x14ac:dyDescent="0.2"/>
  <cols>
    <col min="1" max="1" width="12.7109375" style="11" customWidth="1"/>
    <col min="2" max="3" width="13.7109375" style="11" customWidth="1"/>
    <col min="4" max="4" width="9.140625" style="11"/>
    <col min="5" max="6" width="8.28515625" style="11" bestFit="1" customWidth="1"/>
    <col min="7" max="7" width="10.140625" style="11" bestFit="1" customWidth="1"/>
    <col min="8" max="16384" width="9.140625" style="11"/>
  </cols>
  <sheetData>
    <row r="1" spans="1:39" x14ac:dyDescent="0.2">
      <c r="A1" s="47" t="s">
        <v>14</v>
      </c>
      <c r="B1" s="47"/>
      <c r="C1" s="47"/>
      <c r="D1" s="47"/>
      <c r="E1" s="47"/>
      <c r="F1" s="47"/>
      <c r="G1" s="47"/>
      <c r="I1" s="47" t="s">
        <v>15</v>
      </c>
      <c r="J1" s="47"/>
      <c r="K1" s="47"/>
      <c r="L1" s="47"/>
      <c r="M1" s="47"/>
      <c r="N1" s="47"/>
      <c r="O1" s="47"/>
      <c r="Q1" s="47" t="s">
        <v>16</v>
      </c>
      <c r="R1" s="47"/>
      <c r="S1" s="47"/>
      <c r="T1" s="47"/>
      <c r="U1" s="47"/>
      <c r="V1" s="47"/>
      <c r="W1" s="47"/>
      <c r="Y1" s="47" t="s">
        <v>20</v>
      </c>
      <c r="Z1" s="47"/>
      <c r="AA1" s="47"/>
      <c r="AB1" s="47"/>
      <c r="AC1" s="47"/>
      <c r="AD1" s="47"/>
      <c r="AE1" s="47"/>
      <c r="AG1" s="47" t="s">
        <v>21</v>
      </c>
      <c r="AH1" s="47"/>
      <c r="AI1" s="47"/>
      <c r="AJ1" s="47"/>
      <c r="AK1" s="47"/>
      <c r="AL1" s="47"/>
      <c r="AM1" s="47"/>
    </row>
    <row r="2" spans="1:39" x14ac:dyDescent="0.2">
      <c r="A2" s="46" t="s">
        <v>18</v>
      </c>
      <c r="B2" s="46"/>
      <c r="C2" s="46"/>
      <c r="E2" s="46" t="s">
        <v>19</v>
      </c>
      <c r="F2" s="46"/>
      <c r="G2" s="46"/>
      <c r="I2" s="46" t="s">
        <v>18</v>
      </c>
      <c r="J2" s="46"/>
      <c r="K2" s="46"/>
      <c r="M2" s="46" t="s">
        <v>19</v>
      </c>
      <c r="N2" s="46"/>
      <c r="O2" s="46"/>
      <c r="Q2" s="46" t="s">
        <v>18</v>
      </c>
      <c r="R2" s="46"/>
      <c r="S2" s="46"/>
      <c r="U2" s="46" t="s">
        <v>19</v>
      </c>
      <c r="V2" s="46"/>
      <c r="W2" s="46"/>
      <c r="Y2" s="46" t="s">
        <v>18</v>
      </c>
      <c r="Z2" s="46"/>
      <c r="AA2" s="46"/>
      <c r="AC2" s="46" t="s">
        <v>19</v>
      </c>
      <c r="AD2" s="46"/>
      <c r="AE2" s="46"/>
      <c r="AG2" s="46" t="s">
        <v>18</v>
      </c>
      <c r="AH2" s="46"/>
      <c r="AI2" s="46"/>
      <c r="AK2" s="46" t="s">
        <v>19</v>
      </c>
      <c r="AL2" s="46"/>
      <c r="AM2" s="46"/>
    </row>
    <row r="3" spans="1:39" ht="15" x14ac:dyDescent="0.25">
      <c r="A3" s="11" t="s">
        <v>3</v>
      </c>
      <c r="B3" s="11" t="s">
        <v>4</v>
      </c>
      <c r="C3" s="11" t="s">
        <v>5</v>
      </c>
      <c r="E3" s="11" t="s">
        <v>3</v>
      </c>
      <c r="F3" s="11" t="s">
        <v>4</v>
      </c>
      <c r="G3" s="11" t="s">
        <v>5</v>
      </c>
      <c r="I3" s="11" t="s">
        <v>3</v>
      </c>
      <c r="J3" s="11" t="s">
        <v>4</v>
      </c>
      <c r="K3" s="11" t="s">
        <v>5</v>
      </c>
      <c r="M3" s="11" t="s">
        <v>3</v>
      </c>
      <c r="N3" s="11" t="s">
        <v>4</v>
      </c>
      <c r="O3" s="11" t="s">
        <v>5</v>
      </c>
      <c r="Q3" s="11" t="s">
        <v>3</v>
      </c>
      <c r="R3" s="11" t="s">
        <v>4</v>
      </c>
      <c r="S3" s="11" t="s">
        <v>5</v>
      </c>
      <c r="U3" s="11" t="s">
        <v>3</v>
      </c>
      <c r="V3" s="11" t="s">
        <v>4</v>
      </c>
      <c r="W3" s="11" t="s">
        <v>5</v>
      </c>
      <c r="Y3" t="s">
        <v>3</v>
      </c>
      <c r="Z3" t="s">
        <v>4</v>
      </c>
      <c r="AA3" t="s">
        <v>5</v>
      </c>
      <c r="AC3" s="11" t="s">
        <v>3</v>
      </c>
      <c r="AD3" s="11" t="s">
        <v>4</v>
      </c>
      <c r="AE3" s="11" t="s">
        <v>5</v>
      </c>
      <c r="AG3" t="s">
        <v>3</v>
      </c>
      <c r="AH3" t="s">
        <v>4</v>
      </c>
      <c r="AI3" t="s">
        <v>5</v>
      </c>
      <c r="AK3" s="11" t="s">
        <v>3</v>
      </c>
      <c r="AL3" s="11" t="s">
        <v>4</v>
      </c>
      <c r="AM3" s="11" t="s">
        <v>5</v>
      </c>
    </row>
    <row r="4" spans="1:39" x14ac:dyDescent="0.2">
      <c r="A4" s="48" t="s">
        <v>23</v>
      </c>
      <c r="B4" s="48"/>
      <c r="C4" s="48"/>
      <c r="D4" s="48"/>
      <c r="E4" s="48"/>
      <c r="F4" s="48"/>
      <c r="G4" s="48"/>
      <c r="I4" s="48" t="s">
        <v>23</v>
      </c>
      <c r="J4" s="48"/>
      <c r="K4" s="48"/>
      <c r="L4" s="48"/>
      <c r="M4" s="48"/>
      <c r="N4" s="48"/>
      <c r="O4" s="48"/>
      <c r="Q4" s="48" t="s">
        <v>23</v>
      </c>
      <c r="R4" s="48"/>
      <c r="S4" s="48"/>
      <c r="T4" s="48"/>
      <c r="U4" s="48"/>
      <c r="V4" s="48"/>
      <c r="W4" s="48"/>
      <c r="Y4" s="48" t="s">
        <v>23</v>
      </c>
      <c r="Z4" s="48"/>
      <c r="AA4" s="48"/>
      <c r="AB4" s="48"/>
      <c r="AC4" s="48"/>
      <c r="AD4" s="48"/>
      <c r="AE4" s="48"/>
      <c r="AG4" s="48" t="s">
        <v>23</v>
      </c>
      <c r="AH4" s="48"/>
      <c r="AI4" s="48"/>
      <c r="AJ4" s="48"/>
      <c r="AK4" s="48"/>
      <c r="AL4" s="48"/>
      <c r="AM4" s="48"/>
    </row>
    <row r="5" spans="1:39" ht="15" x14ac:dyDescent="0.25">
      <c r="A5" s="11">
        <v>0.87727946210236318</v>
      </c>
      <c r="B5" s="11">
        <v>0.65626524829153121</v>
      </c>
      <c r="C5" s="11">
        <v>0.68188563573178951</v>
      </c>
      <c r="E5" s="11" t="str">
        <f>VLOOKUP(A5,IoU_Thresholds,2,TRUE)</f>
        <v>IoU 100</v>
      </c>
      <c r="F5" s="11" t="str">
        <f t="shared" ref="F5:F68" si="0">VLOOKUP(B5,IoU_Thresholds,2,TRUE)</f>
        <v>IoU 75</v>
      </c>
      <c r="G5" s="11" t="str">
        <f t="shared" ref="G5:G68" si="1">VLOOKUP(C5,IoU_Thresholds,2,TRUE)</f>
        <v>IoU 75</v>
      </c>
      <c r="I5" s="11">
        <v>0.58776382022172302</v>
      </c>
      <c r="J5" s="11">
        <v>0.36153206465292692</v>
      </c>
      <c r="K5" s="11">
        <v>0.32601473796703812</v>
      </c>
      <c r="M5" s="11" t="str">
        <f t="shared" ref="M5:M40" si="2">VLOOKUP(I5,IoU_Thresholds,2,TRUE)</f>
        <v>IoU 75</v>
      </c>
      <c r="N5" s="11" t="str">
        <f t="shared" ref="N5" si="3">VLOOKUP(J5,IoU_Thresholds,2,TRUE)</f>
        <v>IoU 50</v>
      </c>
      <c r="O5" s="11" t="str">
        <f t="shared" ref="O5" si="4">VLOOKUP(K5,IoU_Thresholds,2,TRUE)</f>
        <v>IoU 50</v>
      </c>
      <c r="Q5" s="11">
        <v>0.4396640661883186</v>
      </c>
      <c r="R5" s="11">
        <v>0.2055058609333591</v>
      </c>
      <c r="S5" s="11">
        <v>0.33151134465119259</v>
      </c>
      <c r="U5" s="11" t="str">
        <f t="shared" ref="U5:U19" si="5">VLOOKUP(Q5,IoU_Thresholds,2,TRUE)</f>
        <v>IoU 50</v>
      </c>
      <c r="V5" s="11" t="str">
        <f t="shared" ref="V5" si="6">VLOOKUP(R5,IoU_Thresholds,2,TRUE)</f>
        <v>IoU 25</v>
      </c>
      <c r="W5" s="11" t="str">
        <f t="shared" ref="W5" si="7">VLOOKUP(S5,IoU_Thresholds,2,TRUE)</f>
        <v>IoU 50</v>
      </c>
      <c r="Y5">
        <v>0.81886901351544616</v>
      </c>
      <c r="Z5">
        <v>0.49386632252929424</v>
      </c>
      <c r="AA5">
        <v>0.26377970105805632</v>
      </c>
      <c r="AC5" s="11" t="str">
        <f>VLOOKUP(Y5,IoU_Thresholds,2,TRUE)</f>
        <v>IoU 100</v>
      </c>
      <c r="AD5" s="11" t="str">
        <f t="shared" ref="AD5" si="8">VLOOKUP(Z5,IoU_Thresholds,2,TRUE)</f>
        <v>IoU 50</v>
      </c>
      <c r="AE5" s="11" t="str">
        <f t="shared" ref="AE5" si="9">VLOOKUP(AA5,IoU_Thresholds,2,TRUE)</f>
        <v>IoU 50</v>
      </c>
      <c r="AG5">
        <v>0.49467989787263189</v>
      </c>
      <c r="AH5">
        <v>0.25896348463668506</v>
      </c>
      <c r="AI5">
        <v>0.50250596052032581</v>
      </c>
      <c r="AK5" s="11" t="str">
        <f t="shared" ref="AK5:AK68" si="10">VLOOKUP(AG5,IoU_Thresholds,2,TRUE)</f>
        <v>IoU 50</v>
      </c>
      <c r="AL5" s="11" t="str">
        <f t="shared" ref="AL5" si="11">VLOOKUP(AH5,IoU_Thresholds,2,TRUE)</f>
        <v>IoU 50</v>
      </c>
      <c r="AM5" s="11" t="str">
        <f t="shared" ref="AM5" si="12">VLOOKUP(AI5,IoU_Thresholds,2,TRUE)</f>
        <v>IoU 75</v>
      </c>
    </row>
    <row r="6" spans="1:39" ht="15" x14ac:dyDescent="0.25">
      <c r="A6" s="11">
        <v>0.88408395381137117</v>
      </c>
      <c r="B6" s="11">
        <v>0.8142998818824625</v>
      </c>
      <c r="C6" s="11">
        <v>0.64630589159979979</v>
      </c>
      <c r="E6" s="11" t="str">
        <f t="shared" ref="E6:E68" si="13">VLOOKUP(A6,IoU_Thresholds,2,TRUE)</f>
        <v>IoU 100</v>
      </c>
      <c r="F6" s="11" t="str">
        <f t="shared" si="0"/>
        <v>IoU 100</v>
      </c>
      <c r="G6" s="11" t="str">
        <f t="shared" si="1"/>
        <v>IoU 75</v>
      </c>
      <c r="I6" s="11">
        <v>0.41513492373875638</v>
      </c>
      <c r="J6" s="11">
        <v>0.52761138919802186</v>
      </c>
      <c r="K6" s="11">
        <v>0.46764841059381868</v>
      </c>
      <c r="M6" s="11" t="str">
        <f t="shared" si="2"/>
        <v>IoU 50</v>
      </c>
      <c r="N6" s="11" t="str">
        <f t="shared" ref="N6:N69" si="14">VLOOKUP(J6,IoU_Thresholds,2,TRUE)</f>
        <v>IoU 75</v>
      </c>
      <c r="O6" s="11" t="str">
        <f t="shared" ref="O6:O69" si="15">VLOOKUP(K6,IoU_Thresholds,2,TRUE)</f>
        <v>IoU 50</v>
      </c>
      <c r="Q6" s="11">
        <v>0.82026734315448302</v>
      </c>
      <c r="R6" s="11">
        <v>0.79735630743254304</v>
      </c>
      <c r="S6" s="11">
        <v>0.79365231799674452</v>
      </c>
      <c r="U6" s="11" t="str">
        <f t="shared" si="5"/>
        <v>IoU 100</v>
      </c>
      <c r="V6" s="11" t="str">
        <f t="shared" ref="V6:V69" si="16">VLOOKUP(R6,IoU_Thresholds,2,TRUE)</f>
        <v>IoU 100</v>
      </c>
      <c r="W6" s="11" t="str">
        <f t="shared" ref="W6:W69" si="17">VLOOKUP(S6,IoU_Thresholds,2,TRUE)</f>
        <v>IoU 100</v>
      </c>
      <c r="Y6">
        <v>0.41014567840552468</v>
      </c>
      <c r="Z6">
        <v>0.61466313351863344</v>
      </c>
      <c r="AA6">
        <v>0.38443328359931928</v>
      </c>
      <c r="AC6" s="11" t="str">
        <f>VLOOKUP(Y6,IoU_Thresholds,2,TRUE)</f>
        <v>IoU 50</v>
      </c>
      <c r="AD6" s="11" t="str">
        <f t="shared" ref="AD6:AD69" si="18">VLOOKUP(Z6,IoU_Thresholds,2,TRUE)</f>
        <v>IoU 75</v>
      </c>
      <c r="AE6" s="11" t="str">
        <f t="shared" ref="AE6:AE69" si="19">VLOOKUP(AA6,IoU_Thresholds,2,TRUE)</f>
        <v>IoU 50</v>
      </c>
      <c r="AG6">
        <v>0.85785409410455482</v>
      </c>
      <c r="AH6">
        <v>0.71828996282527879</v>
      </c>
      <c r="AI6">
        <v>0.71348400460760986</v>
      </c>
      <c r="AK6" s="11" t="str">
        <f t="shared" si="10"/>
        <v>IoU 100</v>
      </c>
      <c r="AL6" s="11" t="str">
        <f t="shared" ref="AL6:AL69" si="20">VLOOKUP(AH6,IoU_Thresholds,2,TRUE)</f>
        <v>IoU 75</v>
      </c>
      <c r="AM6" s="11" t="str">
        <f t="shared" ref="AM6:AM69" si="21">VLOOKUP(AI6,IoU_Thresholds,2,TRUE)</f>
        <v>IoU 75</v>
      </c>
    </row>
    <row r="7" spans="1:39" ht="15" x14ac:dyDescent="0.25">
      <c r="A7" s="11">
        <v>0.75297285771998856</v>
      </c>
      <c r="B7" s="11">
        <v>0.37951807228915663</v>
      </c>
      <c r="C7" s="11">
        <v>0.3060598145487789</v>
      </c>
      <c r="E7" s="11" t="str">
        <f t="shared" si="13"/>
        <v>IoU 100</v>
      </c>
      <c r="F7" s="11" t="str">
        <f t="shared" si="0"/>
        <v>IoU 50</v>
      </c>
      <c r="G7" s="11" t="str">
        <f t="shared" si="1"/>
        <v>IoU 50</v>
      </c>
      <c r="I7" s="11">
        <v>0.88111195782918439</v>
      </c>
      <c r="J7" s="11">
        <v>0.84064635926431008</v>
      </c>
      <c r="K7" s="11">
        <v>0.76432550505203589</v>
      </c>
      <c r="M7" s="11" t="str">
        <f t="shared" si="2"/>
        <v>IoU 100</v>
      </c>
      <c r="N7" s="11" t="str">
        <f t="shared" si="14"/>
        <v>IoU 100</v>
      </c>
      <c r="O7" s="11" t="str">
        <f t="shared" si="15"/>
        <v>IoU 100</v>
      </c>
      <c r="Q7" s="11">
        <v>0.87634414308361142</v>
      </c>
      <c r="R7" s="11">
        <v>0.76453086972577777</v>
      </c>
      <c r="S7" s="11">
        <v>0.59252194328615593</v>
      </c>
      <c r="U7" s="11" t="str">
        <f t="shared" si="5"/>
        <v>IoU 100</v>
      </c>
      <c r="V7" s="11" t="str">
        <f t="shared" si="16"/>
        <v>IoU 100</v>
      </c>
      <c r="W7" s="11" t="str">
        <f t="shared" si="17"/>
        <v>IoU 75</v>
      </c>
      <c r="Y7">
        <v>0.55145400397224975</v>
      </c>
      <c r="Z7">
        <v>0.70472045260095439</v>
      </c>
      <c r="AA7">
        <v>0.43037488521014122</v>
      </c>
      <c r="AC7" s="11" t="str">
        <f>VLOOKUP(Y7,IoU_Thresholds,2,TRUE)</f>
        <v>IoU 75</v>
      </c>
      <c r="AD7" s="11" t="str">
        <f t="shared" si="18"/>
        <v>IoU 75</v>
      </c>
      <c r="AE7" s="11" t="str">
        <f t="shared" si="19"/>
        <v>IoU 50</v>
      </c>
      <c r="AG7">
        <v>0.47415079434740631</v>
      </c>
      <c r="AH7">
        <v>0.42315508820979708</v>
      </c>
      <c r="AI7">
        <v>0.21527979124383878</v>
      </c>
      <c r="AK7" s="11" t="str">
        <f t="shared" si="10"/>
        <v>IoU 50</v>
      </c>
      <c r="AL7" s="11" t="str">
        <f t="shared" si="20"/>
        <v>IoU 50</v>
      </c>
      <c r="AM7" s="11" t="str">
        <f t="shared" si="21"/>
        <v>IoU 25</v>
      </c>
    </row>
    <row r="8" spans="1:39" ht="15" x14ac:dyDescent="0.25">
      <c r="A8" s="11">
        <v>0.82861710725467119</v>
      </c>
      <c r="B8" s="11">
        <v>0.37155997888863757</v>
      </c>
      <c r="C8" s="11">
        <v>0.38870431893687707</v>
      </c>
      <c r="E8" s="11" t="str">
        <f t="shared" si="13"/>
        <v>IoU 100</v>
      </c>
      <c r="F8" s="11" t="str">
        <f t="shared" si="0"/>
        <v>IoU 50</v>
      </c>
      <c r="G8" s="11" t="str">
        <f t="shared" si="1"/>
        <v>IoU 50</v>
      </c>
      <c r="I8" s="11">
        <v>0.88148872385825028</v>
      </c>
      <c r="J8" s="11">
        <v>0.72091362110613555</v>
      </c>
      <c r="K8" s="11">
        <v>0.72485793548201904</v>
      </c>
      <c r="M8" s="11" t="str">
        <f t="shared" si="2"/>
        <v>IoU 100</v>
      </c>
      <c r="N8" s="11" t="str">
        <f t="shared" si="14"/>
        <v>IoU 75</v>
      </c>
      <c r="O8" s="11" t="str">
        <f t="shared" si="15"/>
        <v>IoU 75</v>
      </c>
      <c r="Q8" s="11">
        <v>0.84579830055506877</v>
      </c>
      <c r="R8" s="11">
        <v>0.69378631090368326</v>
      </c>
      <c r="S8" s="11">
        <v>0.75708197750452699</v>
      </c>
      <c r="U8" s="11" t="str">
        <f t="shared" si="5"/>
        <v>IoU 100</v>
      </c>
      <c r="V8" s="11" t="str">
        <f t="shared" si="16"/>
        <v>IoU 75</v>
      </c>
      <c r="W8" s="11" t="str">
        <f t="shared" si="17"/>
        <v>IoU 100</v>
      </c>
      <c r="Y8">
        <v>0.16678794348715062</v>
      </c>
      <c r="Z8">
        <v>0.14719626533167784</v>
      </c>
      <c r="AA8">
        <v>1.8783819746296459E-2</v>
      </c>
      <c r="AC8" s="11" t="str">
        <f>VLOOKUP(Y8,IoU_Thresholds,2,TRUE)</f>
        <v>IoU 25</v>
      </c>
      <c r="AD8" s="11" t="str">
        <f t="shared" si="18"/>
        <v>IoU 25</v>
      </c>
      <c r="AE8" s="11" t="str">
        <f t="shared" si="19"/>
        <v>IoU 25</v>
      </c>
      <c r="AG8">
        <v>0.45857496285467847</v>
      </c>
      <c r="AH8">
        <v>0.24289219424331768</v>
      </c>
      <c r="AI8">
        <v>0.14326283928627861</v>
      </c>
      <c r="AK8" s="11" t="str">
        <f t="shared" si="10"/>
        <v>IoU 50</v>
      </c>
      <c r="AL8" s="11" t="str">
        <f t="shared" si="20"/>
        <v>IoU 25</v>
      </c>
      <c r="AM8" s="11" t="str">
        <f t="shared" si="21"/>
        <v>IoU 25</v>
      </c>
    </row>
    <row r="9" spans="1:39" ht="15" x14ac:dyDescent="0.25">
      <c r="A9" s="11">
        <v>0.81410937460854416</v>
      </c>
      <c r="B9" s="11">
        <v>0.72708502483788873</v>
      </c>
      <c r="C9" s="11">
        <v>0.74062212289920604</v>
      </c>
      <c r="E9" s="11" t="str">
        <f t="shared" si="13"/>
        <v>IoU 100</v>
      </c>
      <c r="F9" s="11" t="str">
        <f t="shared" si="0"/>
        <v>IoU 75</v>
      </c>
      <c r="G9" s="11" t="str">
        <f t="shared" si="1"/>
        <v>IoU 75</v>
      </c>
      <c r="I9" s="11">
        <v>0.48978992956646189</v>
      </c>
      <c r="J9" s="11">
        <v>0.33957999290045005</v>
      </c>
      <c r="K9" s="11">
        <v>0.39105790256212264</v>
      </c>
      <c r="M9" s="11" t="str">
        <f t="shared" si="2"/>
        <v>IoU 50</v>
      </c>
      <c r="N9" s="11" t="str">
        <f t="shared" si="14"/>
        <v>IoU 50</v>
      </c>
      <c r="O9" s="11" t="str">
        <f t="shared" si="15"/>
        <v>IoU 50</v>
      </c>
      <c r="Q9" s="11">
        <v>0.8290960508484897</v>
      </c>
      <c r="R9" s="11">
        <v>0.75085583518142196</v>
      </c>
      <c r="S9" s="11">
        <v>0.60397651660890239</v>
      </c>
      <c r="U9" s="11" t="str">
        <f t="shared" si="5"/>
        <v>IoU 100</v>
      </c>
      <c r="V9" s="11" t="str">
        <f t="shared" si="16"/>
        <v>IoU 100</v>
      </c>
      <c r="W9" s="11" t="str">
        <f t="shared" si="17"/>
        <v>IoU 75</v>
      </c>
      <c r="Y9">
        <v>0.87285778918345436</v>
      </c>
      <c r="Z9">
        <v>0.64368687952093473</v>
      </c>
      <c r="AA9">
        <v>0.62210727592088499</v>
      </c>
      <c r="AC9" s="11" t="str">
        <f>VLOOKUP(Y9,IoU_Thresholds,2,TRUE)</f>
        <v>IoU 100</v>
      </c>
      <c r="AD9" s="11" t="str">
        <f t="shared" si="18"/>
        <v>IoU 75</v>
      </c>
      <c r="AE9" s="11" t="str">
        <f t="shared" si="19"/>
        <v>IoU 75</v>
      </c>
      <c r="AG9">
        <v>0.88089617719344648</v>
      </c>
      <c r="AH9">
        <v>0.56368401996162498</v>
      </c>
      <c r="AI9">
        <v>0.66070436906481411</v>
      </c>
      <c r="AK9" s="11" t="str">
        <f t="shared" si="10"/>
        <v>IoU 100</v>
      </c>
      <c r="AL9" s="11" t="str">
        <f t="shared" si="20"/>
        <v>IoU 75</v>
      </c>
      <c r="AM9" s="11" t="str">
        <f t="shared" si="21"/>
        <v>IoU 75</v>
      </c>
    </row>
    <row r="10" spans="1:39" ht="15" x14ac:dyDescent="0.25">
      <c r="A10" s="11">
        <v>0.41855063638440604</v>
      </c>
      <c r="B10" s="11">
        <v>0.32342595881230896</v>
      </c>
      <c r="C10" s="11">
        <v>0.38145038541344078</v>
      </c>
      <c r="E10" s="11" t="str">
        <f t="shared" si="13"/>
        <v>IoU 50</v>
      </c>
      <c r="F10" s="11" t="str">
        <f t="shared" si="0"/>
        <v>IoU 50</v>
      </c>
      <c r="G10" s="11" t="str">
        <f t="shared" si="1"/>
        <v>IoU 50</v>
      </c>
      <c r="I10" s="11">
        <v>0.75450527290281766</v>
      </c>
      <c r="J10" s="11">
        <v>0.46373258312626214</v>
      </c>
      <c r="K10" s="11">
        <v>0.35227272727272729</v>
      </c>
      <c r="M10" s="11" t="str">
        <f t="shared" si="2"/>
        <v>IoU 100</v>
      </c>
      <c r="N10" s="11" t="str">
        <f t="shared" si="14"/>
        <v>IoU 50</v>
      </c>
      <c r="O10" s="11" t="str">
        <f t="shared" si="15"/>
        <v>IoU 50</v>
      </c>
      <c r="Q10" s="11">
        <v>0.8767096811362789</v>
      </c>
      <c r="R10" s="11">
        <v>0.6728449361439921</v>
      </c>
      <c r="S10" s="11">
        <v>0.64828391878826941</v>
      </c>
      <c r="U10" s="11" t="str">
        <f t="shared" si="5"/>
        <v>IoU 100</v>
      </c>
      <c r="V10" s="11" t="str">
        <f t="shared" si="16"/>
        <v>IoU 75</v>
      </c>
      <c r="W10" s="11" t="str">
        <f t="shared" si="17"/>
        <v>IoU 75</v>
      </c>
      <c r="Y10"/>
      <c r="Z10"/>
      <c r="AA10"/>
      <c r="AG10">
        <v>0.8383435550003786</v>
      </c>
      <c r="AH10">
        <v>0.61486521760188717</v>
      </c>
      <c r="AI10">
        <v>0.45215030199981665</v>
      </c>
      <c r="AK10" s="11" t="str">
        <f t="shared" si="10"/>
        <v>IoU 100</v>
      </c>
      <c r="AL10" s="11" t="str">
        <f t="shared" si="20"/>
        <v>IoU 75</v>
      </c>
      <c r="AM10" s="11" t="str">
        <f t="shared" si="21"/>
        <v>IoU 50</v>
      </c>
    </row>
    <row r="11" spans="1:39" ht="15" x14ac:dyDescent="0.25">
      <c r="A11" s="11">
        <v>0.43315026019694242</v>
      </c>
      <c r="B11" s="11">
        <v>0.46069112910481835</v>
      </c>
      <c r="C11" s="11">
        <v>0.29422280321595234</v>
      </c>
      <c r="E11" s="11" t="str">
        <f t="shared" si="13"/>
        <v>IoU 50</v>
      </c>
      <c r="F11" s="11" t="str">
        <f t="shared" si="0"/>
        <v>IoU 50</v>
      </c>
      <c r="G11" s="11" t="str">
        <f t="shared" si="1"/>
        <v>IoU 50</v>
      </c>
      <c r="I11" s="11">
        <v>0.82652181665176805</v>
      </c>
      <c r="J11" s="11">
        <v>0.59570000303323578</v>
      </c>
      <c r="K11" s="11">
        <v>0.58329198535447646</v>
      </c>
      <c r="M11" s="11" t="str">
        <f t="shared" si="2"/>
        <v>IoU 100</v>
      </c>
      <c r="N11" s="11" t="str">
        <f t="shared" si="14"/>
        <v>IoU 75</v>
      </c>
      <c r="O11" s="11" t="str">
        <f t="shared" si="15"/>
        <v>IoU 75</v>
      </c>
      <c r="Q11" s="11">
        <v>0.85461386570667375</v>
      </c>
      <c r="R11" s="11">
        <v>0.69671705434401998</v>
      </c>
      <c r="S11" s="11">
        <v>0.73832359701828842</v>
      </c>
      <c r="U11" s="11" t="str">
        <f t="shared" si="5"/>
        <v>IoU 100</v>
      </c>
      <c r="V11" s="11" t="str">
        <f t="shared" si="16"/>
        <v>IoU 75</v>
      </c>
      <c r="W11" s="11" t="str">
        <f t="shared" si="17"/>
        <v>IoU 75</v>
      </c>
      <c r="Y11">
        <v>0.83100216718850872</v>
      </c>
      <c r="Z11">
        <v>0.84093280875675491</v>
      </c>
      <c r="AA11">
        <v>0.75756242592977285</v>
      </c>
      <c r="AC11" s="11" t="str">
        <f>VLOOKUP(Y11,IoU_Thresholds,2,TRUE)</f>
        <v>IoU 100</v>
      </c>
      <c r="AD11" s="11" t="str">
        <f t="shared" si="18"/>
        <v>IoU 100</v>
      </c>
      <c r="AE11" s="11" t="str">
        <f t="shared" si="19"/>
        <v>IoU 100</v>
      </c>
      <c r="AG11">
        <v>0.8892546533477439</v>
      </c>
      <c r="AH11">
        <v>0.47861793115186591</v>
      </c>
      <c r="AI11">
        <v>0.4869212217994574</v>
      </c>
      <c r="AK11" s="11" t="str">
        <f t="shared" si="10"/>
        <v>IoU 100</v>
      </c>
      <c r="AL11" s="11" t="str">
        <f t="shared" si="20"/>
        <v>IoU 50</v>
      </c>
      <c r="AM11" s="11" t="str">
        <f t="shared" si="21"/>
        <v>IoU 50</v>
      </c>
    </row>
    <row r="12" spans="1:39" ht="15" x14ac:dyDescent="0.25">
      <c r="A12" s="11">
        <v>0.43495892690028076</v>
      </c>
      <c r="B12" s="11">
        <v>0.25826462504907732</v>
      </c>
      <c r="C12" s="11">
        <v>0.36684002811507188</v>
      </c>
      <c r="E12" s="11" t="str">
        <f t="shared" si="13"/>
        <v>IoU 50</v>
      </c>
      <c r="F12" s="11" t="str">
        <f t="shared" si="0"/>
        <v>IoU 50</v>
      </c>
      <c r="G12" s="11" t="str">
        <f t="shared" si="1"/>
        <v>IoU 50</v>
      </c>
      <c r="I12" s="11">
        <v>0.85517874120792592</v>
      </c>
      <c r="J12" s="11">
        <v>0.4979765184111703</v>
      </c>
      <c r="K12" s="11">
        <v>0.326900990901828</v>
      </c>
      <c r="M12" s="11" t="str">
        <f t="shared" si="2"/>
        <v>IoU 100</v>
      </c>
      <c r="N12" s="11" t="str">
        <f t="shared" si="14"/>
        <v>IoU 50</v>
      </c>
      <c r="O12" s="11" t="str">
        <f t="shared" si="15"/>
        <v>IoU 50</v>
      </c>
      <c r="Q12" s="11">
        <v>0.84610376265813736</v>
      </c>
      <c r="R12" s="11">
        <v>0.68564850597161153</v>
      </c>
      <c r="S12" s="11">
        <v>0.69496998794343212</v>
      </c>
      <c r="U12" s="11" t="str">
        <f t="shared" si="5"/>
        <v>IoU 100</v>
      </c>
      <c r="V12" s="11" t="str">
        <f t="shared" si="16"/>
        <v>IoU 75</v>
      </c>
      <c r="W12" s="11" t="str">
        <f t="shared" si="17"/>
        <v>IoU 75</v>
      </c>
      <c r="Y12">
        <v>0.77784940776136346</v>
      </c>
      <c r="Z12">
        <v>0.74455410123231736</v>
      </c>
      <c r="AA12">
        <v>0.22337719412804879</v>
      </c>
      <c r="AC12" s="11" t="str">
        <f>VLOOKUP(Y12,IoU_Thresholds,2,TRUE)</f>
        <v>IoU 100</v>
      </c>
      <c r="AD12" s="11" t="str">
        <f t="shared" si="18"/>
        <v>IoU 75</v>
      </c>
      <c r="AE12" s="11" t="str">
        <f t="shared" si="19"/>
        <v>IoU 25</v>
      </c>
      <c r="AG12">
        <v>0.46845366038690101</v>
      </c>
      <c r="AH12">
        <v>0.29373814041745733</v>
      </c>
      <c r="AI12">
        <v>0.33897722370794853</v>
      </c>
      <c r="AK12" s="11" t="str">
        <f t="shared" si="10"/>
        <v>IoU 50</v>
      </c>
      <c r="AL12" s="11" t="str">
        <f t="shared" si="20"/>
        <v>IoU 50</v>
      </c>
      <c r="AM12" s="11" t="str">
        <f t="shared" si="21"/>
        <v>IoU 50</v>
      </c>
    </row>
    <row r="13" spans="1:39" ht="15" x14ac:dyDescent="0.25">
      <c r="A13" s="11">
        <v>0.62071423898771605</v>
      </c>
      <c r="B13" s="11">
        <v>0.55755843682545103</v>
      </c>
      <c r="C13" s="11">
        <v>0.55257545485964377</v>
      </c>
      <c r="E13" s="11" t="str">
        <f t="shared" si="13"/>
        <v>IoU 75</v>
      </c>
      <c r="F13" s="11" t="str">
        <f t="shared" si="0"/>
        <v>IoU 75</v>
      </c>
      <c r="G13" s="11" t="str">
        <f t="shared" si="1"/>
        <v>IoU 75</v>
      </c>
      <c r="I13" s="11">
        <v>0.84297437017582022</v>
      </c>
      <c r="J13" s="11">
        <v>0.44699511946970755</v>
      </c>
      <c r="K13" s="11">
        <v>0.40151325140038457</v>
      </c>
      <c r="M13" s="11" t="str">
        <f t="shared" si="2"/>
        <v>IoU 100</v>
      </c>
      <c r="N13" s="11" t="str">
        <f t="shared" si="14"/>
        <v>IoU 50</v>
      </c>
      <c r="O13" s="11" t="str">
        <f t="shared" si="15"/>
        <v>IoU 50</v>
      </c>
      <c r="Q13" s="11">
        <v>0.3541808781147</v>
      </c>
      <c r="R13" s="11">
        <v>0.3584725263564405</v>
      </c>
      <c r="S13" s="11">
        <v>0.31878531428150919</v>
      </c>
      <c r="U13" s="11" t="str">
        <f t="shared" si="5"/>
        <v>IoU 50</v>
      </c>
      <c r="V13" s="11" t="str">
        <f t="shared" si="16"/>
        <v>IoU 50</v>
      </c>
      <c r="W13" s="11" t="str">
        <f t="shared" si="17"/>
        <v>IoU 50</v>
      </c>
      <c r="Y13">
        <v>0.87840200858283768</v>
      </c>
      <c r="Z13">
        <v>0.62823245919410375</v>
      </c>
      <c r="AA13">
        <v>0.30385852090032156</v>
      </c>
      <c r="AC13" s="11" t="str">
        <f>VLOOKUP(Y13,IoU_Thresholds,2,TRUE)</f>
        <v>IoU 100</v>
      </c>
      <c r="AD13" s="11" t="str">
        <f t="shared" si="18"/>
        <v>IoU 75</v>
      </c>
      <c r="AE13" s="11" t="str">
        <f t="shared" si="19"/>
        <v>IoU 50</v>
      </c>
      <c r="AG13">
        <v>0.84647612020229723</v>
      </c>
      <c r="AH13">
        <v>0.25950396422036998</v>
      </c>
      <c r="AI13">
        <v>0.28235294117647058</v>
      </c>
      <c r="AK13" s="11" t="str">
        <f t="shared" si="10"/>
        <v>IoU 100</v>
      </c>
      <c r="AL13" s="11" t="str">
        <f t="shared" si="20"/>
        <v>IoU 50</v>
      </c>
      <c r="AM13" s="11" t="str">
        <f t="shared" si="21"/>
        <v>IoU 50</v>
      </c>
    </row>
    <row r="14" spans="1:39" ht="15" x14ac:dyDescent="0.25">
      <c r="A14" s="11">
        <v>0.82128731161854551</v>
      </c>
      <c r="B14" s="11">
        <v>0.63051381269592477</v>
      </c>
      <c r="C14" s="11">
        <v>0.66779078189411845</v>
      </c>
      <c r="E14" s="11" t="str">
        <f t="shared" si="13"/>
        <v>IoU 100</v>
      </c>
      <c r="F14" s="11" t="str">
        <f t="shared" si="0"/>
        <v>IoU 75</v>
      </c>
      <c r="G14" s="11" t="str">
        <f t="shared" si="1"/>
        <v>IoU 75</v>
      </c>
      <c r="I14" s="11">
        <v>0.82567046905629005</v>
      </c>
      <c r="J14" s="11">
        <v>0.64071701915356849</v>
      </c>
      <c r="K14" s="11">
        <v>0.78246761712831869</v>
      </c>
      <c r="M14" s="11" t="str">
        <f t="shared" si="2"/>
        <v>IoU 100</v>
      </c>
      <c r="N14" s="11" t="str">
        <f t="shared" si="14"/>
        <v>IoU 75</v>
      </c>
      <c r="O14" s="11" t="str">
        <f t="shared" si="15"/>
        <v>IoU 100</v>
      </c>
      <c r="Q14" s="11">
        <v>0.76162607716407638</v>
      </c>
      <c r="R14" s="11">
        <v>0.78005603142942626</v>
      </c>
      <c r="S14" s="11">
        <v>0.69249266532283171</v>
      </c>
      <c r="U14" s="11" t="str">
        <f t="shared" si="5"/>
        <v>IoU 100</v>
      </c>
      <c r="V14" s="11" t="str">
        <f t="shared" si="16"/>
        <v>IoU 100</v>
      </c>
      <c r="W14" s="11" t="str">
        <f t="shared" si="17"/>
        <v>IoU 75</v>
      </c>
      <c r="Y14">
        <v>0.21984104367604834</v>
      </c>
      <c r="Z14">
        <v>7.794113882877483E-3</v>
      </c>
      <c r="AA14">
        <v>0</v>
      </c>
      <c r="AC14" s="11" t="str">
        <f>VLOOKUP(Y14,IoU_Thresholds,2,TRUE)</f>
        <v>IoU 25</v>
      </c>
      <c r="AD14" s="11" t="str">
        <f t="shared" si="18"/>
        <v>IoU 25</v>
      </c>
      <c r="AE14" s="11" t="str">
        <f t="shared" si="19"/>
        <v>IoU 25</v>
      </c>
      <c r="AG14">
        <v>2.8129895616572771E-2</v>
      </c>
      <c r="AH14">
        <v>0</v>
      </c>
      <c r="AI14">
        <v>0.11705515218364226</v>
      </c>
      <c r="AK14" s="11" t="str">
        <f t="shared" si="10"/>
        <v>IoU 25</v>
      </c>
      <c r="AL14" s="11" t="str">
        <f t="shared" si="20"/>
        <v>IoU 25</v>
      </c>
      <c r="AM14" s="11" t="str">
        <f t="shared" si="21"/>
        <v>IoU 25</v>
      </c>
    </row>
    <row r="15" spans="1:39" ht="15" x14ac:dyDescent="0.25">
      <c r="A15" s="11">
        <v>0.43308712208102035</v>
      </c>
      <c r="B15" s="11">
        <v>0.68273903135458203</v>
      </c>
      <c r="C15" s="11">
        <v>0.3864967784206681</v>
      </c>
      <c r="E15" s="11" t="str">
        <f t="shared" si="13"/>
        <v>IoU 50</v>
      </c>
      <c r="F15" s="11" t="str">
        <f t="shared" si="0"/>
        <v>IoU 75</v>
      </c>
      <c r="G15" s="11" t="str">
        <f t="shared" si="1"/>
        <v>IoU 50</v>
      </c>
      <c r="I15" s="11">
        <v>0.79518240589023748</v>
      </c>
      <c r="J15" s="11">
        <v>0.70885161971627597</v>
      </c>
      <c r="K15" s="11">
        <v>0.69378558759564735</v>
      </c>
      <c r="M15" s="11" t="str">
        <f t="shared" si="2"/>
        <v>IoU 100</v>
      </c>
      <c r="N15" s="11" t="str">
        <f t="shared" si="14"/>
        <v>IoU 75</v>
      </c>
      <c r="O15" s="11" t="str">
        <f t="shared" si="15"/>
        <v>IoU 75</v>
      </c>
      <c r="Q15" s="11">
        <v>0.85131205532971665</v>
      </c>
      <c r="R15" s="11">
        <v>0.6600091229804399</v>
      </c>
      <c r="S15" s="11">
        <v>0.67631870530168214</v>
      </c>
      <c r="U15" s="11" t="str">
        <f t="shared" si="5"/>
        <v>IoU 100</v>
      </c>
      <c r="V15" s="11" t="str">
        <f t="shared" si="16"/>
        <v>IoU 75</v>
      </c>
      <c r="W15" s="11" t="str">
        <f t="shared" si="17"/>
        <v>IoU 75</v>
      </c>
      <c r="Y15">
        <v>0.7945766339124618</v>
      </c>
      <c r="Z15">
        <v>0.724314443802893</v>
      </c>
      <c r="AA15">
        <v>0.26401564537157757</v>
      </c>
      <c r="AC15" s="11" t="str">
        <f>VLOOKUP(Y15,IoU_Thresholds,2,TRUE)</f>
        <v>IoU 100</v>
      </c>
      <c r="AD15" s="11" t="str">
        <f t="shared" si="18"/>
        <v>IoU 75</v>
      </c>
      <c r="AE15" s="11" t="str">
        <f t="shared" si="19"/>
        <v>IoU 50</v>
      </c>
      <c r="AG15">
        <v>0.87708357406427717</v>
      </c>
      <c r="AH15">
        <v>0.47462810825047252</v>
      </c>
      <c r="AI15">
        <v>0.51217094010275066</v>
      </c>
      <c r="AK15" s="11" t="str">
        <f t="shared" si="10"/>
        <v>IoU 100</v>
      </c>
      <c r="AL15" s="11" t="str">
        <f t="shared" si="20"/>
        <v>IoU 50</v>
      </c>
      <c r="AM15" s="11" t="str">
        <f t="shared" si="21"/>
        <v>IoU 75</v>
      </c>
    </row>
    <row r="16" spans="1:39" ht="15" x14ac:dyDescent="0.25">
      <c r="A16" s="11">
        <v>0.35745512550058994</v>
      </c>
      <c r="B16" s="11">
        <v>0.33788941155587116</v>
      </c>
      <c r="C16" s="11">
        <v>0.40397372774924234</v>
      </c>
      <c r="E16" s="11" t="str">
        <f t="shared" si="13"/>
        <v>IoU 50</v>
      </c>
      <c r="F16" s="11" t="str">
        <f t="shared" si="0"/>
        <v>IoU 50</v>
      </c>
      <c r="G16" s="11" t="str">
        <f t="shared" si="1"/>
        <v>IoU 50</v>
      </c>
      <c r="I16" s="11">
        <v>0.71926294581842343</v>
      </c>
      <c r="J16" s="11">
        <v>0.7243874878110681</v>
      </c>
      <c r="K16" s="11">
        <v>0.74802342395573329</v>
      </c>
      <c r="M16" s="11" t="str">
        <f t="shared" si="2"/>
        <v>IoU 75</v>
      </c>
      <c r="N16" s="11" t="str">
        <f t="shared" si="14"/>
        <v>IoU 75</v>
      </c>
      <c r="O16" s="11" t="str">
        <f t="shared" si="15"/>
        <v>IoU 75</v>
      </c>
      <c r="Q16" s="11">
        <v>0.8679117704472179</v>
      </c>
      <c r="R16" s="11">
        <v>0.7954315747365367</v>
      </c>
      <c r="S16" s="11">
        <v>0.5746538521373874</v>
      </c>
      <c r="U16" s="11" t="str">
        <f t="shared" si="5"/>
        <v>IoU 100</v>
      </c>
      <c r="V16" s="11" t="str">
        <f t="shared" si="16"/>
        <v>IoU 100</v>
      </c>
      <c r="W16" s="11" t="str">
        <f t="shared" si="17"/>
        <v>IoU 75</v>
      </c>
      <c r="Y16"/>
      <c r="Z16"/>
      <c r="AA16"/>
      <c r="AG16">
        <v>0.71760578161360278</v>
      </c>
      <c r="AH16">
        <v>0.63408049102633823</v>
      </c>
      <c r="AI16">
        <v>0.25252525252525254</v>
      </c>
      <c r="AK16" s="11" t="str">
        <f t="shared" si="10"/>
        <v>IoU 75</v>
      </c>
      <c r="AL16" s="11" t="str">
        <f t="shared" si="20"/>
        <v>IoU 75</v>
      </c>
      <c r="AM16" s="11" t="str">
        <f t="shared" si="21"/>
        <v>IoU 50</v>
      </c>
    </row>
    <row r="17" spans="1:39" ht="15" x14ac:dyDescent="0.25">
      <c r="A17" s="11">
        <v>0</v>
      </c>
      <c r="B17" s="11">
        <v>0.17705152022255308</v>
      </c>
      <c r="C17" s="11">
        <v>0.25421932213670956</v>
      </c>
      <c r="E17" s="11" t="str">
        <f t="shared" si="13"/>
        <v>IoU 25</v>
      </c>
      <c r="F17" s="11" t="str">
        <f t="shared" si="0"/>
        <v>IoU 25</v>
      </c>
      <c r="G17" s="11" t="str">
        <f t="shared" si="1"/>
        <v>IoU 50</v>
      </c>
      <c r="I17" s="11">
        <v>0.40594188760756716</v>
      </c>
      <c r="J17" s="11">
        <v>0.68743849863953732</v>
      </c>
      <c r="K17" s="11">
        <v>0.50743185686853132</v>
      </c>
      <c r="M17" s="11" t="str">
        <f t="shared" si="2"/>
        <v>IoU 50</v>
      </c>
      <c r="N17" s="11" t="str">
        <f t="shared" si="14"/>
        <v>IoU 75</v>
      </c>
      <c r="O17" s="11" t="str">
        <f t="shared" si="15"/>
        <v>IoU 75</v>
      </c>
      <c r="Q17" s="11">
        <v>0.87152293033928019</v>
      </c>
      <c r="R17" s="11">
        <v>0.65731910605909682</v>
      </c>
      <c r="S17" s="11">
        <v>0.75021950777478374</v>
      </c>
      <c r="U17" s="11" t="str">
        <f t="shared" si="5"/>
        <v>IoU 100</v>
      </c>
      <c r="V17" s="11" t="str">
        <f t="shared" si="16"/>
        <v>IoU 75</v>
      </c>
      <c r="W17" s="11" t="str">
        <f t="shared" si="17"/>
        <v>IoU 100</v>
      </c>
      <c r="Y17">
        <v>0.85177796502873515</v>
      </c>
      <c r="Z17">
        <v>0.42631452964174577</v>
      </c>
      <c r="AA17">
        <v>0.38893532265979991</v>
      </c>
      <c r="AC17" s="11" t="str">
        <f>VLOOKUP(Y17,IoU_Thresholds,2,TRUE)</f>
        <v>IoU 100</v>
      </c>
      <c r="AD17" s="11" t="str">
        <f t="shared" si="18"/>
        <v>IoU 50</v>
      </c>
      <c r="AE17" s="11" t="str">
        <f t="shared" si="19"/>
        <v>IoU 50</v>
      </c>
      <c r="AG17">
        <v>0.78584949474950139</v>
      </c>
      <c r="AH17">
        <v>0.60636452710936739</v>
      </c>
      <c r="AI17">
        <v>0.18297236743838685</v>
      </c>
      <c r="AK17" s="11" t="str">
        <f t="shared" si="10"/>
        <v>IoU 100</v>
      </c>
      <c r="AL17" s="11" t="str">
        <f t="shared" si="20"/>
        <v>IoU 75</v>
      </c>
      <c r="AM17" s="11" t="str">
        <f t="shared" si="21"/>
        <v>IoU 25</v>
      </c>
    </row>
    <row r="18" spans="1:39" ht="15" x14ac:dyDescent="0.25">
      <c r="A18" s="11">
        <v>0.59723462559408891</v>
      </c>
      <c r="B18" s="11">
        <v>0.43411098569887308</v>
      </c>
      <c r="C18" s="11">
        <v>0.38550965279298188</v>
      </c>
      <c r="E18" s="11" t="str">
        <f t="shared" si="13"/>
        <v>IoU 75</v>
      </c>
      <c r="F18" s="11" t="str">
        <f t="shared" si="0"/>
        <v>IoU 50</v>
      </c>
      <c r="G18" s="11" t="str">
        <f t="shared" si="1"/>
        <v>IoU 50</v>
      </c>
      <c r="I18" s="11">
        <v>0.61049263731546599</v>
      </c>
      <c r="J18" s="11">
        <v>0.54281985571165081</v>
      </c>
      <c r="K18" s="11">
        <v>0.37057111597440068</v>
      </c>
      <c r="M18" s="11" t="str">
        <f t="shared" si="2"/>
        <v>IoU 75</v>
      </c>
      <c r="N18" s="11" t="str">
        <f t="shared" si="14"/>
        <v>IoU 75</v>
      </c>
      <c r="O18" s="11" t="str">
        <f t="shared" si="15"/>
        <v>IoU 50</v>
      </c>
      <c r="Q18" s="11">
        <v>0.46464216930055585</v>
      </c>
      <c r="R18" s="11">
        <v>0.4632994771306016</v>
      </c>
      <c r="S18" s="11">
        <v>0.35664759248915912</v>
      </c>
      <c r="U18" s="11" t="str">
        <f t="shared" si="5"/>
        <v>IoU 50</v>
      </c>
      <c r="V18" s="11" t="str">
        <f t="shared" si="16"/>
        <v>IoU 50</v>
      </c>
      <c r="W18" s="11" t="str">
        <f t="shared" si="17"/>
        <v>IoU 50</v>
      </c>
      <c r="Y18">
        <v>0.5237456597222222</v>
      </c>
      <c r="Z18">
        <v>0.48992400342354986</v>
      </c>
      <c r="AA18">
        <v>0.36269430051813473</v>
      </c>
      <c r="AC18" s="11" t="str">
        <f>VLOOKUP(Y18,IoU_Thresholds,2,TRUE)</f>
        <v>IoU 75</v>
      </c>
      <c r="AD18" s="11" t="str">
        <f t="shared" si="18"/>
        <v>IoU 50</v>
      </c>
      <c r="AE18" s="11" t="str">
        <f t="shared" si="19"/>
        <v>IoU 50</v>
      </c>
      <c r="AG18">
        <v>0.86935649091118794</v>
      </c>
      <c r="AH18">
        <v>0.7897514638692924</v>
      </c>
      <c r="AI18">
        <v>0.64631808876388908</v>
      </c>
      <c r="AK18" s="11" t="str">
        <f t="shared" si="10"/>
        <v>IoU 100</v>
      </c>
      <c r="AL18" s="11" t="str">
        <f t="shared" si="20"/>
        <v>IoU 100</v>
      </c>
      <c r="AM18" s="11" t="str">
        <f t="shared" si="21"/>
        <v>IoU 75</v>
      </c>
    </row>
    <row r="19" spans="1:39" ht="15" x14ac:dyDescent="0.25">
      <c r="A19" s="11">
        <v>0.84268161899559835</v>
      </c>
      <c r="B19" s="11">
        <v>0.8094177783903318</v>
      </c>
      <c r="C19" s="11">
        <v>0.75041191938547058</v>
      </c>
      <c r="E19" s="11" t="str">
        <f t="shared" si="13"/>
        <v>IoU 100</v>
      </c>
      <c r="F19" s="11" t="str">
        <f t="shared" si="0"/>
        <v>IoU 100</v>
      </c>
      <c r="G19" s="11" t="str">
        <f t="shared" si="1"/>
        <v>IoU 100</v>
      </c>
      <c r="I19" s="11">
        <v>0.88048166453385224</v>
      </c>
      <c r="J19" s="11">
        <v>0.64234794516920402</v>
      </c>
      <c r="K19" s="11">
        <v>0.73518235524915632</v>
      </c>
      <c r="M19" s="11" t="str">
        <f t="shared" si="2"/>
        <v>IoU 100</v>
      </c>
      <c r="N19" s="11" t="str">
        <f t="shared" si="14"/>
        <v>IoU 75</v>
      </c>
      <c r="O19" s="11" t="str">
        <f t="shared" si="15"/>
        <v>IoU 75</v>
      </c>
      <c r="Q19" s="11">
        <v>0.90067087983725236</v>
      </c>
      <c r="R19" s="11">
        <v>0.73093770085938059</v>
      </c>
      <c r="S19" s="11">
        <v>0.64016085203470441</v>
      </c>
      <c r="U19" s="11" t="str">
        <f t="shared" si="5"/>
        <v>IoU 100</v>
      </c>
      <c r="V19" s="11" t="str">
        <f t="shared" si="16"/>
        <v>IoU 75</v>
      </c>
      <c r="W19" s="11" t="str">
        <f t="shared" si="17"/>
        <v>IoU 75</v>
      </c>
      <c r="Y19">
        <v>0.52403213330169141</v>
      </c>
      <c r="Z19">
        <v>0.35312500000000002</v>
      </c>
      <c r="AA19">
        <v>0.2613978004929805</v>
      </c>
      <c r="AC19" s="11" t="str">
        <f>VLOOKUP(Y19,IoU_Thresholds,2,TRUE)</f>
        <v>IoU 75</v>
      </c>
      <c r="AD19" s="11" t="str">
        <f t="shared" si="18"/>
        <v>IoU 50</v>
      </c>
      <c r="AE19" s="11" t="str">
        <f t="shared" si="19"/>
        <v>IoU 50</v>
      </c>
      <c r="AG19">
        <v>0.42677028511468529</v>
      </c>
      <c r="AH19">
        <v>0.54597460517875995</v>
      </c>
      <c r="AI19">
        <v>0.25772599365200827</v>
      </c>
      <c r="AK19" s="11" t="str">
        <f t="shared" si="10"/>
        <v>IoU 50</v>
      </c>
      <c r="AL19" s="11" t="str">
        <f t="shared" si="20"/>
        <v>IoU 75</v>
      </c>
      <c r="AM19" s="11" t="str">
        <f t="shared" si="21"/>
        <v>IoU 50</v>
      </c>
    </row>
    <row r="20" spans="1:39" ht="15" x14ac:dyDescent="0.25">
      <c r="A20" s="11">
        <v>0.87880557120743952</v>
      </c>
      <c r="B20" s="11">
        <v>0.65770410687038106</v>
      </c>
      <c r="C20" s="11">
        <v>0.68071627321755701</v>
      </c>
      <c r="E20" s="11" t="str">
        <f t="shared" si="13"/>
        <v>IoU 100</v>
      </c>
      <c r="F20" s="11" t="str">
        <f t="shared" si="0"/>
        <v>IoU 75</v>
      </c>
      <c r="G20" s="11" t="str">
        <f t="shared" si="1"/>
        <v>IoU 75</v>
      </c>
      <c r="I20" s="11">
        <v>0.88855816533620624</v>
      </c>
      <c r="J20" s="11">
        <v>0.76028418860995295</v>
      </c>
      <c r="K20" s="11">
        <v>0.64173546262326797</v>
      </c>
      <c r="M20" s="11" t="str">
        <f t="shared" si="2"/>
        <v>IoU 100</v>
      </c>
      <c r="N20" s="11" t="str">
        <f t="shared" si="14"/>
        <v>IoU 100</v>
      </c>
      <c r="O20" s="11" t="str">
        <f t="shared" si="15"/>
        <v>IoU 75</v>
      </c>
      <c r="Y20"/>
      <c r="Z20"/>
      <c r="AA20"/>
      <c r="AG20">
        <v>0.89233880390084563</v>
      </c>
      <c r="AH20">
        <v>0.58267733535857658</v>
      </c>
      <c r="AI20">
        <v>0.55915379574453783</v>
      </c>
      <c r="AK20" s="11" t="str">
        <f t="shared" si="10"/>
        <v>IoU 100</v>
      </c>
      <c r="AL20" s="11" t="str">
        <f t="shared" si="20"/>
        <v>IoU 75</v>
      </c>
      <c r="AM20" s="11" t="str">
        <f t="shared" si="21"/>
        <v>IoU 75</v>
      </c>
    </row>
    <row r="21" spans="1:39" ht="15" x14ac:dyDescent="0.25">
      <c r="A21" s="11">
        <v>0.44291493087001149</v>
      </c>
      <c r="B21" s="11">
        <v>0.59842510257457071</v>
      </c>
      <c r="C21" s="11">
        <v>0.27695431472081217</v>
      </c>
      <c r="E21" s="11" t="str">
        <f t="shared" si="13"/>
        <v>IoU 50</v>
      </c>
      <c r="F21" s="11" t="str">
        <f t="shared" si="0"/>
        <v>IoU 75</v>
      </c>
      <c r="G21" s="11" t="str">
        <f t="shared" si="1"/>
        <v>IoU 50</v>
      </c>
      <c r="I21" s="11">
        <v>0.89238975870993598</v>
      </c>
      <c r="J21" s="11">
        <v>0.76403559021584444</v>
      </c>
      <c r="K21" s="11">
        <v>0.67798178498958794</v>
      </c>
      <c r="M21" s="11" t="str">
        <f t="shared" si="2"/>
        <v>IoU 100</v>
      </c>
      <c r="N21" s="11" t="str">
        <f t="shared" si="14"/>
        <v>IoU 100</v>
      </c>
      <c r="O21" s="11" t="str">
        <f t="shared" si="15"/>
        <v>IoU 75</v>
      </c>
      <c r="Q21" s="11">
        <v>0.85491013872934218</v>
      </c>
      <c r="R21" s="11">
        <v>0.75218902815011845</v>
      </c>
      <c r="S21" s="11">
        <v>0.72158124891283326</v>
      </c>
      <c r="U21" s="11" t="str">
        <f t="shared" ref="U21:U40" si="22">VLOOKUP(Q21,IoU_Thresholds,2,TRUE)</f>
        <v>IoU 100</v>
      </c>
      <c r="V21" s="11" t="str">
        <f t="shared" si="16"/>
        <v>IoU 100</v>
      </c>
      <c r="W21" s="11" t="str">
        <f t="shared" si="17"/>
        <v>IoU 75</v>
      </c>
      <c r="Y21">
        <v>0.56558901794110161</v>
      </c>
      <c r="Z21">
        <v>0.45391701744450053</v>
      </c>
      <c r="AA21">
        <v>0.16273062730627305</v>
      </c>
      <c r="AC21" s="11" t="str">
        <f t="shared" ref="AC21:AC26" si="23">VLOOKUP(Y21,IoU_Thresholds,2,TRUE)</f>
        <v>IoU 75</v>
      </c>
      <c r="AD21" s="11" t="str">
        <f t="shared" si="18"/>
        <v>IoU 50</v>
      </c>
      <c r="AE21" s="11" t="str">
        <f t="shared" si="19"/>
        <v>IoU 25</v>
      </c>
      <c r="AG21">
        <v>0.47854996725008714</v>
      </c>
      <c r="AH21">
        <v>0.4260189217038825</v>
      </c>
      <c r="AI21">
        <v>0.4300068159917268</v>
      </c>
      <c r="AK21" s="11" t="str">
        <f t="shared" si="10"/>
        <v>IoU 50</v>
      </c>
      <c r="AL21" s="11" t="str">
        <f t="shared" si="20"/>
        <v>IoU 50</v>
      </c>
      <c r="AM21" s="11" t="str">
        <f t="shared" si="21"/>
        <v>IoU 50</v>
      </c>
    </row>
    <row r="22" spans="1:39" ht="15" x14ac:dyDescent="0.25">
      <c r="A22" s="11">
        <v>0.53185516816385325</v>
      </c>
      <c r="B22" s="11">
        <v>0.37262778340080971</v>
      </c>
      <c r="C22" s="11">
        <v>0.4737750247726043</v>
      </c>
      <c r="E22" s="11" t="str">
        <f t="shared" si="13"/>
        <v>IoU 75</v>
      </c>
      <c r="F22" s="11" t="str">
        <f t="shared" si="0"/>
        <v>IoU 50</v>
      </c>
      <c r="G22" s="11" t="str">
        <f t="shared" si="1"/>
        <v>IoU 50</v>
      </c>
      <c r="I22" s="11">
        <v>0.90919715115042177</v>
      </c>
      <c r="J22" s="11">
        <v>0.69333502313921913</v>
      </c>
      <c r="K22" s="11">
        <v>0.70962836091957415</v>
      </c>
      <c r="M22" s="11" t="str">
        <f t="shared" si="2"/>
        <v>IoU 100</v>
      </c>
      <c r="N22" s="11" t="str">
        <f t="shared" si="14"/>
        <v>IoU 75</v>
      </c>
      <c r="O22" s="11" t="str">
        <f t="shared" si="15"/>
        <v>IoU 75</v>
      </c>
      <c r="Q22" s="11">
        <v>0.85781878738953088</v>
      </c>
      <c r="R22" s="11">
        <v>0.32970012786439018</v>
      </c>
      <c r="S22" s="11">
        <v>0.40284714614375128</v>
      </c>
      <c r="U22" s="11" t="str">
        <f t="shared" si="22"/>
        <v>IoU 100</v>
      </c>
      <c r="V22" s="11" t="str">
        <f t="shared" si="16"/>
        <v>IoU 50</v>
      </c>
      <c r="W22" s="11" t="str">
        <f t="shared" si="17"/>
        <v>IoU 50</v>
      </c>
      <c r="Y22">
        <v>0.78624986135049757</v>
      </c>
      <c r="Z22">
        <v>0.7212408028558186</v>
      </c>
      <c r="AA22">
        <v>0.53831222645761778</v>
      </c>
      <c r="AC22" s="11" t="str">
        <f t="shared" si="23"/>
        <v>IoU 100</v>
      </c>
      <c r="AD22" s="11" t="str">
        <f t="shared" si="18"/>
        <v>IoU 75</v>
      </c>
      <c r="AE22" s="11" t="str">
        <f t="shared" si="19"/>
        <v>IoU 75</v>
      </c>
      <c r="AG22">
        <v>0.85731365691017092</v>
      </c>
      <c r="AH22">
        <v>0.28912875867386278</v>
      </c>
      <c r="AI22">
        <v>0.29042553191489362</v>
      </c>
      <c r="AK22" s="11" t="str">
        <f t="shared" si="10"/>
        <v>IoU 100</v>
      </c>
      <c r="AL22" s="11" t="str">
        <f t="shared" si="20"/>
        <v>IoU 50</v>
      </c>
      <c r="AM22" s="11" t="str">
        <f t="shared" si="21"/>
        <v>IoU 50</v>
      </c>
    </row>
    <row r="23" spans="1:39" ht="15" x14ac:dyDescent="0.25">
      <c r="A23" s="11">
        <v>0.42317539166985096</v>
      </c>
      <c r="B23" s="11">
        <v>0.27567403817025143</v>
      </c>
      <c r="C23" s="11">
        <v>0.42826185308126735</v>
      </c>
      <c r="E23" s="11" t="str">
        <f t="shared" si="13"/>
        <v>IoU 50</v>
      </c>
      <c r="F23" s="11" t="str">
        <f t="shared" si="0"/>
        <v>IoU 50</v>
      </c>
      <c r="G23" s="11" t="str">
        <f t="shared" si="1"/>
        <v>IoU 50</v>
      </c>
      <c r="I23" s="11">
        <v>0.71386450400651946</v>
      </c>
      <c r="J23" s="11">
        <v>0.34661986496393477</v>
      </c>
      <c r="K23" s="11">
        <v>0.31890964363964031</v>
      </c>
      <c r="M23" s="11" t="str">
        <f t="shared" si="2"/>
        <v>IoU 75</v>
      </c>
      <c r="N23" s="11" t="str">
        <f t="shared" si="14"/>
        <v>IoU 50</v>
      </c>
      <c r="O23" s="11" t="str">
        <f t="shared" si="15"/>
        <v>IoU 50</v>
      </c>
      <c r="Q23" s="11">
        <v>0.85150268360389747</v>
      </c>
      <c r="R23" s="11">
        <v>0.78833770267380698</v>
      </c>
      <c r="S23" s="11">
        <v>0.57876898570133728</v>
      </c>
      <c r="U23" s="11" t="str">
        <f t="shared" si="22"/>
        <v>IoU 100</v>
      </c>
      <c r="V23" s="11" t="str">
        <f t="shared" si="16"/>
        <v>IoU 100</v>
      </c>
      <c r="W23" s="11" t="str">
        <f t="shared" si="17"/>
        <v>IoU 75</v>
      </c>
      <c r="Y23">
        <v>0.83526748877030887</v>
      </c>
      <c r="Z23">
        <v>0.77482527487593456</v>
      </c>
      <c r="AA23">
        <v>0.61176670367347974</v>
      </c>
      <c r="AC23" s="11" t="str">
        <f t="shared" si="23"/>
        <v>IoU 100</v>
      </c>
      <c r="AD23" s="11" t="str">
        <f t="shared" si="18"/>
        <v>IoU 100</v>
      </c>
      <c r="AE23" s="11" t="str">
        <f t="shared" si="19"/>
        <v>IoU 75</v>
      </c>
      <c r="AG23">
        <v>0.9083962531195211</v>
      </c>
      <c r="AH23">
        <v>0.7210229893198592</v>
      </c>
      <c r="AI23">
        <v>0.51948063369222464</v>
      </c>
      <c r="AK23" s="11" t="str">
        <f t="shared" si="10"/>
        <v>IoU 100</v>
      </c>
      <c r="AL23" s="11" t="str">
        <f t="shared" si="20"/>
        <v>IoU 75</v>
      </c>
      <c r="AM23" s="11" t="str">
        <f t="shared" si="21"/>
        <v>IoU 75</v>
      </c>
    </row>
    <row r="24" spans="1:39" ht="15" x14ac:dyDescent="0.25">
      <c r="A24" s="11">
        <v>0.64115393505637408</v>
      </c>
      <c r="B24" s="11">
        <v>0.57948291054325829</v>
      </c>
      <c r="C24" s="11">
        <v>0.33805601317957168</v>
      </c>
      <c r="E24" s="11" t="str">
        <f t="shared" si="13"/>
        <v>IoU 75</v>
      </c>
      <c r="F24" s="11" t="str">
        <f t="shared" si="0"/>
        <v>IoU 75</v>
      </c>
      <c r="G24" s="11" t="str">
        <f t="shared" si="1"/>
        <v>IoU 50</v>
      </c>
      <c r="I24" s="11">
        <v>0.55558510110767501</v>
      </c>
      <c r="J24" s="11">
        <v>0.355464514893928</v>
      </c>
      <c r="K24" s="11">
        <v>0.47829014276157722</v>
      </c>
      <c r="M24" s="11" t="str">
        <f t="shared" si="2"/>
        <v>IoU 75</v>
      </c>
      <c r="N24" s="11" t="str">
        <f t="shared" si="14"/>
        <v>IoU 50</v>
      </c>
      <c r="O24" s="11" t="str">
        <f t="shared" si="15"/>
        <v>IoU 50</v>
      </c>
      <c r="Q24" s="11">
        <v>0.86366185305376342</v>
      </c>
      <c r="R24" s="11">
        <v>0.6104138757498565</v>
      </c>
      <c r="S24" s="11">
        <v>0.44812591767975013</v>
      </c>
      <c r="U24" s="11" t="str">
        <f t="shared" si="22"/>
        <v>IoU 100</v>
      </c>
      <c r="V24" s="11" t="str">
        <f t="shared" si="16"/>
        <v>IoU 75</v>
      </c>
      <c r="W24" s="11" t="str">
        <f t="shared" si="17"/>
        <v>IoU 50</v>
      </c>
      <c r="Y24">
        <v>0.81225541537532076</v>
      </c>
      <c r="Z24">
        <v>0.76410219622078723</v>
      </c>
      <c r="AA24">
        <v>0.37467594293886342</v>
      </c>
      <c r="AC24" s="11" t="str">
        <f t="shared" si="23"/>
        <v>IoU 100</v>
      </c>
      <c r="AD24" s="11" t="str">
        <f t="shared" si="18"/>
        <v>IoU 100</v>
      </c>
      <c r="AE24" s="11" t="str">
        <f t="shared" si="19"/>
        <v>IoU 50</v>
      </c>
      <c r="AG24">
        <v>0.92288246206318303</v>
      </c>
      <c r="AH24">
        <v>0.65163092100993047</v>
      </c>
      <c r="AI24">
        <v>0.52068593510084193</v>
      </c>
      <c r="AK24" s="11" t="str">
        <f t="shared" si="10"/>
        <v>IoU 100</v>
      </c>
      <c r="AL24" s="11" t="str">
        <f t="shared" si="20"/>
        <v>IoU 75</v>
      </c>
      <c r="AM24" s="11" t="str">
        <f t="shared" si="21"/>
        <v>IoU 75</v>
      </c>
    </row>
    <row r="25" spans="1:39" ht="15" x14ac:dyDescent="0.25">
      <c r="A25" s="11">
        <v>0.90728306005721526</v>
      </c>
      <c r="B25" s="11">
        <v>0.67538397311967624</v>
      </c>
      <c r="C25" s="11">
        <v>0.62128767419544928</v>
      </c>
      <c r="E25" s="11" t="str">
        <f t="shared" si="13"/>
        <v>IoU 100</v>
      </c>
      <c r="F25" s="11" t="str">
        <f t="shared" si="0"/>
        <v>IoU 75</v>
      </c>
      <c r="G25" s="11" t="str">
        <f t="shared" si="1"/>
        <v>IoU 75</v>
      </c>
      <c r="I25" s="11">
        <v>0.82533007120472979</v>
      </c>
      <c r="J25" s="11">
        <v>0.82508533021215158</v>
      </c>
      <c r="K25" s="11">
        <v>0.7069317813104139</v>
      </c>
      <c r="M25" s="11" t="str">
        <f t="shared" si="2"/>
        <v>IoU 100</v>
      </c>
      <c r="N25" s="11" t="str">
        <f t="shared" si="14"/>
        <v>IoU 100</v>
      </c>
      <c r="O25" s="11" t="str">
        <f t="shared" si="15"/>
        <v>IoU 75</v>
      </c>
      <c r="Q25" s="11">
        <v>0.37101345373877931</v>
      </c>
      <c r="R25" s="11">
        <v>0.38173321047984621</v>
      </c>
      <c r="S25" s="11">
        <v>0.32043137730459936</v>
      </c>
      <c r="U25" s="11" t="str">
        <f t="shared" si="22"/>
        <v>IoU 50</v>
      </c>
      <c r="V25" s="11" t="str">
        <f t="shared" si="16"/>
        <v>IoU 50</v>
      </c>
      <c r="W25" s="11" t="str">
        <f t="shared" si="17"/>
        <v>IoU 50</v>
      </c>
      <c r="Y25">
        <v>0.53301368180978403</v>
      </c>
      <c r="Z25">
        <v>0.5167553736125674</v>
      </c>
      <c r="AA25">
        <v>0.46204481792717089</v>
      </c>
      <c r="AC25" s="11" t="str">
        <f t="shared" si="23"/>
        <v>IoU 75</v>
      </c>
      <c r="AD25" s="11" t="str">
        <f t="shared" si="18"/>
        <v>IoU 75</v>
      </c>
      <c r="AE25" s="11" t="str">
        <f t="shared" si="19"/>
        <v>IoU 50</v>
      </c>
      <c r="AG25">
        <v>0.86402016914946889</v>
      </c>
      <c r="AH25">
        <v>0.57882056620124511</v>
      </c>
      <c r="AI25">
        <v>0.42120314545254478</v>
      </c>
      <c r="AK25" s="11" t="str">
        <f t="shared" si="10"/>
        <v>IoU 100</v>
      </c>
      <c r="AL25" s="11" t="str">
        <f t="shared" si="20"/>
        <v>IoU 75</v>
      </c>
      <c r="AM25" s="11" t="str">
        <f t="shared" si="21"/>
        <v>IoU 50</v>
      </c>
    </row>
    <row r="26" spans="1:39" ht="15" x14ac:dyDescent="0.25">
      <c r="A26" s="11">
        <v>0.83966158736541074</v>
      </c>
      <c r="B26" s="11">
        <v>0.70106034625961167</v>
      </c>
      <c r="C26" s="11">
        <v>0.56320937282284378</v>
      </c>
      <c r="E26" s="11" t="str">
        <f t="shared" si="13"/>
        <v>IoU 100</v>
      </c>
      <c r="F26" s="11" t="str">
        <f t="shared" si="0"/>
        <v>IoU 75</v>
      </c>
      <c r="G26" s="11" t="str">
        <f t="shared" si="1"/>
        <v>IoU 75</v>
      </c>
      <c r="I26" s="11">
        <v>0.82323762529166</v>
      </c>
      <c r="J26" s="11">
        <v>0.32482746095168907</v>
      </c>
      <c r="K26" s="11">
        <v>0.26078257003112493</v>
      </c>
      <c r="M26" s="11" t="str">
        <f t="shared" si="2"/>
        <v>IoU 100</v>
      </c>
      <c r="N26" s="11" t="str">
        <f t="shared" si="14"/>
        <v>IoU 50</v>
      </c>
      <c r="O26" s="11" t="str">
        <f t="shared" si="15"/>
        <v>IoU 50</v>
      </c>
      <c r="Q26" s="11">
        <v>0.42790756355531256</v>
      </c>
      <c r="R26" s="11">
        <v>0.33784533451680904</v>
      </c>
      <c r="S26" s="11">
        <v>0.34468085106382979</v>
      </c>
      <c r="U26" s="11" t="str">
        <f t="shared" si="22"/>
        <v>IoU 50</v>
      </c>
      <c r="V26" s="11" t="str">
        <f t="shared" si="16"/>
        <v>IoU 50</v>
      </c>
      <c r="W26" s="11" t="str">
        <f t="shared" si="17"/>
        <v>IoU 50</v>
      </c>
      <c r="Y26">
        <v>0.5005408149223155</v>
      </c>
      <c r="Z26">
        <v>0.87337175472599937</v>
      </c>
      <c r="AA26">
        <v>0.23288847994952117</v>
      </c>
      <c r="AC26" s="11" t="str">
        <f t="shared" si="23"/>
        <v>IoU 75</v>
      </c>
      <c r="AD26" s="11" t="str">
        <f t="shared" si="18"/>
        <v>IoU 100</v>
      </c>
      <c r="AE26" s="11" t="str">
        <f t="shared" si="19"/>
        <v>IoU 25</v>
      </c>
      <c r="AG26">
        <v>0.84921911731317667</v>
      </c>
      <c r="AH26">
        <v>0.73460177709159058</v>
      </c>
      <c r="AI26">
        <v>0.58389019324543978</v>
      </c>
      <c r="AK26" s="11" t="str">
        <f t="shared" si="10"/>
        <v>IoU 100</v>
      </c>
      <c r="AL26" s="11" t="str">
        <f t="shared" si="20"/>
        <v>IoU 75</v>
      </c>
      <c r="AM26" s="11" t="str">
        <f t="shared" si="21"/>
        <v>IoU 75</v>
      </c>
    </row>
    <row r="27" spans="1:39" ht="15" x14ac:dyDescent="0.25">
      <c r="A27" s="11">
        <v>0.85345244649083296</v>
      </c>
      <c r="B27" s="11">
        <v>0.82859573436887324</v>
      </c>
      <c r="C27" s="11">
        <v>0.73172173249831429</v>
      </c>
      <c r="E27" s="11" t="str">
        <f t="shared" si="13"/>
        <v>IoU 100</v>
      </c>
      <c r="F27" s="11" t="str">
        <f t="shared" si="0"/>
        <v>IoU 100</v>
      </c>
      <c r="G27" s="11" t="str">
        <f t="shared" si="1"/>
        <v>IoU 75</v>
      </c>
      <c r="I27" s="11">
        <v>0.61966455562618883</v>
      </c>
      <c r="J27" s="11">
        <v>0.46419432197126187</v>
      </c>
      <c r="K27" s="11">
        <v>0.33072493725084895</v>
      </c>
      <c r="M27" s="11" t="str">
        <f t="shared" si="2"/>
        <v>IoU 75</v>
      </c>
      <c r="N27" s="11" t="str">
        <f t="shared" si="14"/>
        <v>IoU 50</v>
      </c>
      <c r="O27" s="11" t="str">
        <f t="shared" si="15"/>
        <v>IoU 50</v>
      </c>
      <c r="Q27" s="11">
        <v>0.46121482761177401</v>
      </c>
      <c r="R27" s="11">
        <v>0.30662989280170883</v>
      </c>
      <c r="S27" s="11">
        <v>0.41539311224987002</v>
      </c>
      <c r="U27" s="11" t="str">
        <f t="shared" si="22"/>
        <v>IoU 50</v>
      </c>
      <c r="V27" s="11" t="str">
        <f t="shared" si="16"/>
        <v>IoU 50</v>
      </c>
      <c r="W27" s="11" t="str">
        <f t="shared" si="17"/>
        <v>IoU 50</v>
      </c>
      <c r="Y27"/>
      <c r="Z27"/>
      <c r="AA27"/>
      <c r="AG27">
        <v>0.45298028971740678</v>
      </c>
      <c r="AH27">
        <v>0.52577483524811175</v>
      </c>
      <c r="AI27">
        <v>0.20546395419549529</v>
      </c>
      <c r="AK27" s="11" t="str">
        <f t="shared" si="10"/>
        <v>IoU 50</v>
      </c>
      <c r="AL27" s="11" t="str">
        <f t="shared" si="20"/>
        <v>IoU 75</v>
      </c>
      <c r="AM27" s="11" t="str">
        <f t="shared" si="21"/>
        <v>IoU 25</v>
      </c>
    </row>
    <row r="28" spans="1:39" ht="15" x14ac:dyDescent="0.25">
      <c r="A28" s="11">
        <v>0.60763069009218384</v>
      </c>
      <c r="B28" s="11">
        <v>0.36982533194889133</v>
      </c>
      <c r="C28" s="11">
        <v>0.34452358852235809</v>
      </c>
      <c r="E28" s="11" t="str">
        <f t="shared" si="13"/>
        <v>IoU 75</v>
      </c>
      <c r="F28" s="11" t="str">
        <f t="shared" si="0"/>
        <v>IoU 50</v>
      </c>
      <c r="G28" s="11" t="str">
        <f t="shared" si="1"/>
        <v>IoU 50</v>
      </c>
      <c r="I28" s="11">
        <v>0.54065718653316497</v>
      </c>
      <c r="J28" s="11">
        <v>0.29520685402682389</v>
      </c>
      <c r="K28" s="11">
        <v>0.37883338051736948</v>
      </c>
      <c r="M28" s="11" t="str">
        <f t="shared" si="2"/>
        <v>IoU 75</v>
      </c>
      <c r="N28" s="11" t="str">
        <f t="shared" si="14"/>
        <v>IoU 50</v>
      </c>
      <c r="O28" s="11" t="str">
        <f t="shared" si="15"/>
        <v>IoU 50</v>
      </c>
      <c r="Q28" s="11">
        <v>0.76679447127710709</v>
      </c>
      <c r="R28" s="11">
        <v>0.58965897081282037</v>
      </c>
      <c r="S28" s="11">
        <v>0.67077664252169933</v>
      </c>
      <c r="U28" s="11" t="str">
        <f t="shared" si="22"/>
        <v>IoU 100</v>
      </c>
      <c r="V28" s="11" t="str">
        <f t="shared" si="16"/>
        <v>IoU 75</v>
      </c>
      <c r="W28" s="11" t="str">
        <f t="shared" si="17"/>
        <v>IoU 75</v>
      </c>
      <c r="Y28">
        <v>0.82543549603877042</v>
      </c>
      <c r="Z28">
        <v>0.65428675289152838</v>
      </c>
      <c r="AA28">
        <v>0.68546737805934854</v>
      </c>
      <c r="AC28" s="11" t="str">
        <f t="shared" ref="AC28:AC41" si="24">VLOOKUP(Y28,IoU_Thresholds,2,TRUE)</f>
        <v>IoU 100</v>
      </c>
      <c r="AD28" s="11" t="str">
        <f t="shared" si="18"/>
        <v>IoU 75</v>
      </c>
      <c r="AE28" s="11" t="str">
        <f t="shared" si="19"/>
        <v>IoU 75</v>
      </c>
      <c r="AG28">
        <v>0.4616406509465294</v>
      </c>
      <c r="AH28">
        <v>0.29375110769811519</v>
      </c>
      <c r="AI28">
        <v>0.28703360994222626</v>
      </c>
      <c r="AK28" s="11" t="str">
        <f t="shared" si="10"/>
        <v>IoU 50</v>
      </c>
      <c r="AL28" s="11" t="str">
        <f t="shared" si="20"/>
        <v>IoU 50</v>
      </c>
      <c r="AM28" s="11" t="str">
        <f t="shared" si="21"/>
        <v>IoU 50</v>
      </c>
    </row>
    <row r="29" spans="1:39" ht="15" x14ac:dyDescent="0.25">
      <c r="A29" s="11">
        <v>0.87241150763982267</v>
      </c>
      <c r="B29" s="11">
        <v>0.21409120773749793</v>
      </c>
      <c r="C29" s="11">
        <v>0.25016500609937831</v>
      </c>
      <c r="E29" s="11" t="str">
        <f t="shared" si="13"/>
        <v>IoU 100</v>
      </c>
      <c r="F29" s="11" t="str">
        <f t="shared" si="0"/>
        <v>IoU 25</v>
      </c>
      <c r="G29" s="11" t="str">
        <f t="shared" si="1"/>
        <v>IoU 50</v>
      </c>
      <c r="I29" s="11">
        <v>0.71846486754608452</v>
      </c>
      <c r="J29" s="11">
        <v>0.6237670338531105</v>
      </c>
      <c r="K29" s="11">
        <v>0.22569911196463602</v>
      </c>
      <c r="M29" s="11" t="str">
        <f t="shared" si="2"/>
        <v>IoU 75</v>
      </c>
      <c r="N29" s="11" t="str">
        <f t="shared" si="14"/>
        <v>IoU 75</v>
      </c>
      <c r="O29" s="11" t="str">
        <f t="shared" si="15"/>
        <v>IoU 25</v>
      </c>
      <c r="Q29" s="11">
        <v>0.85658270045881335</v>
      </c>
      <c r="R29" s="11">
        <v>0.76115470246570704</v>
      </c>
      <c r="S29" s="11">
        <v>0.6551595051329997</v>
      </c>
      <c r="U29" s="11" t="str">
        <f t="shared" si="22"/>
        <v>IoU 100</v>
      </c>
      <c r="V29" s="11" t="str">
        <f t="shared" si="16"/>
        <v>IoU 100</v>
      </c>
      <c r="W29" s="11" t="str">
        <f t="shared" si="17"/>
        <v>IoU 75</v>
      </c>
      <c r="Y29">
        <v>0.66869875978961346</v>
      </c>
      <c r="Z29">
        <v>4.9712619669361694E-3</v>
      </c>
      <c r="AA29">
        <v>2.6735446535981977E-2</v>
      </c>
      <c r="AC29" s="11" t="str">
        <f t="shared" si="24"/>
        <v>IoU 75</v>
      </c>
      <c r="AD29" s="11" t="str">
        <f t="shared" si="18"/>
        <v>IoU 25</v>
      </c>
      <c r="AE29" s="11" t="str">
        <f t="shared" si="19"/>
        <v>IoU 25</v>
      </c>
      <c r="AG29">
        <v>0.44825290258145956</v>
      </c>
      <c r="AH29">
        <v>0.13690476190476192</v>
      </c>
      <c r="AI29">
        <v>0.32664479553465936</v>
      </c>
      <c r="AK29" s="11" t="str">
        <f t="shared" si="10"/>
        <v>IoU 50</v>
      </c>
      <c r="AL29" s="11" t="str">
        <f t="shared" si="20"/>
        <v>IoU 25</v>
      </c>
      <c r="AM29" s="11" t="str">
        <f t="shared" si="21"/>
        <v>IoU 50</v>
      </c>
    </row>
    <row r="30" spans="1:39" ht="15" x14ac:dyDescent="0.25">
      <c r="A30" s="11">
        <v>0.81016292164641168</v>
      </c>
      <c r="B30" s="11">
        <v>0.51303530929515695</v>
      </c>
      <c r="C30" s="11">
        <v>0.63828803412323465</v>
      </c>
      <c r="E30" s="11" t="str">
        <f t="shared" si="13"/>
        <v>IoU 100</v>
      </c>
      <c r="F30" s="11" t="str">
        <f t="shared" si="0"/>
        <v>IoU 75</v>
      </c>
      <c r="G30" s="11" t="str">
        <f t="shared" si="1"/>
        <v>IoU 75</v>
      </c>
      <c r="I30" s="11">
        <v>0.43975674648422652</v>
      </c>
      <c r="J30" s="11">
        <v>0.487934093203374</v>
      </c>
      <c r="K30" s="11">
        <v>0.33521280465623865</v>
      </c>
      <c r="M30" s="11" t="str">
        <f t="shared" si="2"/>
        <v>IoU 50</v>
      </c>
      <c r="N30" s="11" t="str">
        <f t="shared" si="14"/>
        <v>IoU 50</v>
      </c>
      <c r="O30" s="11" t="str">
        <f t="shared" si="15"/>
        <v>IoU 50</v>
      </c>
      <c r="Q30" s="11">
        <v>0.85195776232297282</v>
      </c>
      <c r="R30" s="11">
        <v>0.63320521402729368</v>
      </c>
      <c r="S30" s="11">
        <v>0.51448922659306218</v>
      </c>
      <c r="U30" s="11" t="str">
        <f t="shared" si="22"/>
        <v>IoU 100</v>
      </c>
      <c r="V30" s="11" t="str">
        <f t="shared" si="16"/>
        <v>IoU 75</v>
      </c>
      <c r="W30" s="11" t="str">
        <f t="shared" si="17"/>
        <v>IoU 75</v>
      </c>
      <c r="Y30">
        <v>0.78766457830398795</v>
      </c>
      <c r="Z30">
        <v>0.54043075748510039</v>
      </c>
      <c r="AA30">
        <v>0.26282751091703055</v>
      </c>
      <c r="AC30" s="11" t="str">
        <f t="shared" si="24"/>
        <v>IoU 100</v>
      </c>
      <c r="AD30" s="11" t="str">
        <f t="shared" si="18"/>
        <v>IoU 75</v>
      </c>
      <c r="AE30" s="11" t="str">
        <f t="shared" si="19"/>
        <v>IoU 50</v>
      </c>
      <c r="AG30">
        <v>0.83205307163890685</v>
      </c>
      <c r="AH30">
        <v>0.50855212134963146</v>
      </c>
      <c r="AI30">
        <v>0.44948158216766987</v>
      </c>
      <c r="AK30" s="11" t="str">
        <f t="shared" si="10"/>
        <v>IoU 100</v>
      </c>
      <c r="AL30" s="11" t="str">
        <f t="shared" si="20"/>
        <v>IoU 75</v>
      </c>
      <c r="AM30" s="11" t="str">
        <f t="shared" si="21"/>
        <v>IoU 50</v>
      </c>
    </row>
    <row r="31" spans="1:39" ht="15" x14ac:dyDescent="0.25">
      <c r="A31" s="11">
        <v>0.79199961471483882</v>
      </c>
      <c r="B31" s="11">
        <v>0.46031724290066039</v>
      </c>
      <c r="C31" s="11">
        <v>0.36263234062000155</v>
      </c>
      <c r="E31" s="11" t="str">
        <f t="shared" si="13"/>
        <v>IoU 100</v>
      </c>
      <c r="F31" s="11" t="str">
        <f t="shared" si="0"/>
        <v>IoU 50</v>
      </c>
      <c r="G31" s="11" t="str">
        <f t="shared" si="1"/>
        <v>IoU 50</v>
      </c>
      <c r="I31" s="11">
        <v>0.43685974737631061</v>
      </c>
      <c r="J31" s="11">
        <v>0.71081603600751242</v>
      </c>
      <c r="K31" s="11">
        <v>0.52803357562046183</v>
      </c>
      <c r="M31" s="11" t="str">
        <f t="shared" si="2"/>
        <v>IoU 50</v>
      </c>
      <c r="N31" s="11" t="str">
        <f t="shared" si="14"/>
        <v>IoU 75</v>
      </c>
      <c r="O31" s="11" t="str">
        <f t="shared" si="15"/>
        <v>IoU 75</v>
      </c>
      <c r="Q31" s="11">
        <v>0.40957775734354895</v>
      </c>
      <c r="R31" s="11">
        <v>0.33620439768776544</v>
      </c>
      <c r="S31" s="11">
        <v>0.28883025285098712</v>
      </c>
      <c r="U31" s="11" t="str">
        <f t="shared" si="22"/>
        <v>IoU 50</v>
      </c>
      <c r="V31" s="11" t="str">
        <f t="shared" si="16"/>
        <v>IoU 50</v>
      </c>
      <c r="W31" s="11" t="str">
        <f t="shared" si="17"/>
        <v>IoU 50</v>
      </c>
      <c r="Y31">
        <v>0.44020936114798026</v>
      </c>
      <c r="Z31">
        <v>0.68634386343679976</v>
      </c>
      <c r="AA31">
        <v>0.2587601078167116</v>
      </c>
      <c r="AC31" s="11" t="str">
        <f t="shared" si="24"/>
        <v>IoU 50</v>
      </c>
      <c r="AD31" s="11" t="str">
        <f t="shared" si="18"/>
        <v>IoU 75</v>
      </c>
      <c r="AE31" s="11" t="str">
        <f t="shared" si="19"/>
        <v>IoU 50</v>
      </c>
      <c r="AG31">
        <v>0.47991966625458787</v>
      </c>
      <c r="AH31">
        <v>0.43766239912787042</v>
      </c>
      <c r="AI31">
        <v>0.3399588759424263</v>
      </c>
      <c r="AK31" s="11" t="str">
        <f t="shared" si="10"/>
        <v>IoU 50</v>
      </c>
      <c r="AL31" s="11" t="str">
        <f t="shared" si="20"/>
        <v>IoU 50</v>
      </c>
      <c r="AM31" s="11" t="str">
        <f t="shared" si="21"/>
        <v>IoU 50</v>
      </c>
    </row>
    <row r="32" spans="1:39" ht="15" x14ac:dyDescent="0.25">
      <c r="A32" s="11">
        <v>0.44278022997554051</v>
      </c>
      <c r="B32" s="11">
        <v>0.49152305875547708</v>
      </c>
      <c r="C32" s="11">
        <v>0.41319948680022062</v>
      </c>
      <c r="E32" s="11" t="str">
        <f t="shared" si="13"/>
        <v>IoU 50</v>
      </c>
      <c r="F32" s="11" t="str">
        <f t="shared" si="0"/>
        <v>IoU 50</v>
      </c>
      <c r="G32" s="11" t="str">
        <f t="shared" si="1"/>
        <v>IoU 50</v>
      </c>
      <c r="I32" s="11">
        <v>0.86768305256553757</v>
      </c>
      <c r="J32" s="11">
        <v>0.76149707519705401</v>
      </c>
      <c r="K32" s="11">
        <v>0.53423925320825782</v>
      </c>
      <c r="M32" s="11" t="str">
        <f t="shared" si="2"/>
        <v>IoU 100</v>
      </c>
      <c r="N32" s="11" t="str">
        <f t="shared" si="14"/>
        <v>IoU 100</v>
      </c>
      <c r="O32" s="11" t="str">
        <f t="shared" si="15"/>
        <v>IoU 75</v>
      </c>
      <c r="Q32" s="11">
        <v>0.60120219467107927</v>
      </c>
      <c r="R32" s="11">
        <v>0.42880194373416569</v>
      </c>
      <c r="S32" s="11">
        <v>0.4649999602645114</v>
      </c>
      <c r="U32" s="11" t="str">
        <f t="shared" si="22"/>
        <v>IoU 75</v>
      </c>
      <c r="V32" s="11" t="str">
        <f t="shared" si="16"/>
        <v>IoU 50</v>
      </c>
      <c r="W32" s="11" t="str">
        <f t="shared" si="17"/>
        <v>IoU 50</v>
      </c>
      <c r="Y32">
        <v>0.58589632763863297</v>
      </c>
      <c r="Z32">
        <v>0.53188718077840247</v>
      </c>
      <c r="AA32">
        <v>0.75235002269285389</v>
      </c>
      <c r="AC32" s="11" t="str">
        <f t="shared" si="24"/>
        <v>IoU 75</v>
      </c>
      <c r="AD32" s="11" t="str">
        <f t="shared" si="18"/>
        <v>IoU 75</v>
      </c>
      <c r="AE32" s="11" t="str">
        <f t="shared" si="19"/>
        <v>IoU 100</v>
      </c>
      <c r="AG32">
        <v>0.80858197145920996</v>
      </c>
      <c r="AH32">
        <v>0.29000338294993233</v>
      </c>
      <c r="AI32">
        <v>7.2234762979683967E-2</v>
      </c>
      <c r="AK32" s="11" t="str">
        <f t="shared" si="10"/>
        <v>IoU 100</v>
      </c>
      <c r="AL32" s="11" t="str">
        <f t="shared" si="20"/>
        <v>IoU 50</v>
      </c>
      <c r="AM32" s="11" t="str">
        <f t="shared" si="21"/>
        <v>IoU 25</v>
      </c>
    </row>
    <row r="33" spans="1:39" ht="15" x14ac:dyDescent="0.25">
      <c r="A33" s="11">
        <v>0.41886401239868476</v>
      </c>
      <c r="B33" s="11">
        <v>0.35527084957131722</v>
      </c>
      <c r="C33" s="11">
        <v>0.30620790228023231</v>
      </c>
      <c r="E33" s="11" t="str">
        <f t="shared" si="13"/>
        <v>IoU 50</v>
      </c>
      <c r="F33" s="11" t="str">
        <f t="shared" si="0"/>
        <v>IoU 50</v>
      </c>
      <c r="G33" s="11" t="str">
        <f t="shared" si="1"/>
        <v>IoU 50</v>
      </c>
      <c r="I33" s="11">
        <v>0.45215165225645559</v>
      </c>
      <c r="J33" s="11">
        <v>0.47000650187608967</v>
      </c>
      <c r="K33" s="11">
        <v>0.33510864933958245</v>
      </c>
      <c r="M33" s="11" t="str">
        <f t="shared" si="2"/>
        <v>IoU 50</v>
      </c>
      <c r="N33" s="11" t="str">
        <f t="shared" si="14"/>
        <v>IoU 50</v>
      </c>
      <c r="O33" s="11" t="str">
        <f t="shared" si="15"/>
        <v>IoU 50</v>
      </c>
      <c r="Q33" s="11">
        <v>0.83072046946745415</v>
      </c>
      <c r="R33" s="11">
        <v>0.71109884692207892</v>
      </c>
      <c r="S33" s="11">
        <v>0.64333720450542575</v>
      </c>
      <c r="U33" s="11" t="str">
        <f t="shared" si="22"/>
        <v>IoU 100</v>
      </c>
      <c r="V33" s="11" t="str">
        <f t="shared" si="16"/>
        <v>IoU 75</v>
      </c>
      <c r="W33" s="11" t="str">
        <f t="shared" si="17"/>
        <v>IoU 75</v>
      </c>
      <c r="Y33">
        <v>0.82223945013220034</v>
      </c>
      <c r="Z33">
        <v>0.70070799177741394</v>
      </c>
      <c r="AA33">
        <v>0.53750735232333424</v>
      </c>
      <c r="AC33" s="11" t="str">
        <f t="shared" si="24"/>
        <v>IoU 100</v>
      </c>
      <c r="AD33" s="11" t="str">
        <f t="shared" si="18"/>
        <v>IoU 75</v>
      </c>
      <c r="AE33" s="11" t="str">
        <f t="shared" si="19"/>
        <v>IoU 75</v>
      </c>
      <c r="AG33">
        <v>0.45919561038881362</v>
      </c>
      <c r="AH33">
        <v>0.64502871341686574</v>
      </c>
      <c r="AI33">
        <v>4.6768039501739425E-2</v>
      </c>
      <c r="AK33" s="11" t="str">
        <f t="shared" si="10"/>
        <v>IoU 50</v>
      </c>
      <c r="AL33" s="11" t="str">
        <f t="shared" si="20"/>
        <v>IoU 75</v>
      </c>
      <c r="AM33" s="11" t="str">
        <f t="shared" si="21"/>
        <v>IoU 25</v>
      </c>
    </row>
    <row r="34" spans="1:39" ht="15" x14ac:dyDescent="0.25">
      <c r="A34" s="11">
        <v>0.44204029787382221</v>
      </c>
      <c r="B34" s="11">
        <v>0.49558032935200574</v>
      </c>
      <c r="C34" s="11">
        <v>4.9102829284601052E-2</v>
      </c>
      <c r="E34" s="11" t="str">
        <f t="shared" si="13"/>
        <v>IoU 50</v>
      </c>
      <c r="F34" s="11" t="str">
        <f t="shared" si="0"/>
        <v>IoU 50</v>
      </c>
      <c r="G34" s="11" t="str">
        <f t="shared" si="1"/>
        <v>IoU 25</v>
      </c>
      <c r="I34" s="11">
        <v>0.51578605950611478</v>
      </c>
      <c r="J34" s="11">
        <v>0.48641713697383349</v>
      </c>
      <c r="K34" s="11">
        <v>0.36888181456426583</v>
      </c>
      <c r="M34" s="11" t="str">
        <f t="shared" si="2"/>
        <v>IoU 75</v>
      </c>
      <c r="N34" s="11" t="str">
        <f t="shared" si="14"/>
        <v>IoU 50</v>
      </c>
      <c r="O34" s="11" t="str">
        <f t="shared" si="15"/>
        <v>IoU 50</v>
      </c>
      <c r="Q34" s="11">
        <v>0.87995191794818961</v>
      </c>
      <c r="R34" s="11">
        <v>0.62420801781221036</v>
      </c>
      <c r="S34" s="11">
        <v>0.58207375751315871</v>
      </c>
      <c r="U34" s="11" t="str">
        <f t="shared" si="22"/>
        <v>IoU 100</v>
      </c>
      <c r="V34" s="11" t="str">
        <f t="shared" si="16"/>
        <v>IoU 75</v>
      </c>
      <c r="W34" s="11" t="str">
        <f t="shared" si="17"/>
        <v>IoU 75</v>
      </c>
      <c r="Y34">
        <v>0.88648400478690337</v>
      </c>
      <c r="Z34">
        <v>0.85199569750740278</v>
      </c>
      <c r="AA34">
        <v>0.54726526345896742</v>
      </c>
      <c r="AC34" s="11" t="str">
        <f t="shared" si="24"/>
        <v>IoU 100</v>
      </c>
      <c r="AD34" s="11" t="str">
        <f t="shared" si="18"/>
        <v>IoU 100</v>
      </c>
      <c r="AE34" s="11" t="str">
        <f t="shared" si="19"/>
        <v>IoU 75</v>
      </c>
      <c r="AG34">
        <v>0.82941366378809311</v>
      </c>
      <c r="AH34">
        <v>0.63084325154652676</v>
      </c>
      <c r="AI34">
        <v>0.4088151970262916</v>
      </c>
      <c r="AK34" s="11" t="str">
        <f t="shared" si="10"/>
        <v>IoU 100</v>
      </c>
      <c r="AL34" s="11" t="str">
        <f t="shared" si="20"/>
        <v>IoU 75</v>
      </c>
      <c r="AM34" s="11" t="str">
        <f t="shared" si="21"/>
        <v>IoU 50</v>
      </c>
    </row>
    <row r="35" spans="1:39" ht="15" x14ac:dyDescent="0.25">
      <c r="A35" s="11">
        <v>0.50175992266442715</v>
      </c>
      <c r="B35" s="11">
        <v>0.4803895749465632</v>
      </c>
      <c r="C35" s="11">
        <v>0.2947235183599452</v>
      </c>
      <c r="E35" s="11" t="str">
        <f t="shared" si="13"/>
        <v>IoU 75</v>
      </c>
      <c r="F35" s="11" t="str">
        <f t="shared" si="0"/>
        <v>IoU 50</v>
      </c>
      <c r="G35" s="11" t="str">
        <f t="shared" si="1"/>
        <v>IoU 50</v>
      </c>
      <c r="I35" s="11">
        <v>0.84165792948947216</v>
      </c>
      <c r="J35" s="11">
        <v>0.66310249638746321</v>
      </c>
      <c r="K35" s="11">
        <v>0.67262041611946288</v>
      </c>
      <c r="M35" s="11" t="str">
        <f t="shared" si="2"/>
        <v>IoU 100</v>
      </c>
      <c r="N35" s="11" t="str">
        <f t="shared" si="14"/>
        <v>IoU 75</v>
      </c>
      <c r="O35" s="11" t="str">
        <f t="shared" si="15"/>
        <v>IoU 75</v>
      </c>
      <c r="Q35" s="11">
        <v>0.52902256871994968</v>
      </c>
      <c r="R35" s="11">
        <v>0.34640148014219974</v>
      </c>
      <c r="S35" s="11">
        <v>0.28053372158537393</v>
      </c>
      <c r="U35" s="11" t="str">
        <f t="shared" si="22"/>
        <v>IoU 75</v>
      </c>
      <c r="V35" s="11" t="str">
        <f t="shared" si="16"/>
        <v>IoU 50</v>
      </c>
      <c r="W35" s="11" t="str">
        <f t="shared" si="17"/>
        <v>IoU 50</v>
      </c>
      <c r="Y35">
        <v>0.5995482147532879</v>
      </c>
      <c r="Z35">
        <v>0.69584625886280915</v>
      </c>
      <c r="AA35">
        <v>0.35987539292122234</v>
      </c>
      <c r="AC35" s="11" t="str">
        <f t="shared" si="24"/>
        <v>IoU 75</v>
      </c>
      <c r="AD35" s="11" t="str">
        <f t="shared" si="18"/>
        <v>IoU 75</v>
      </c>
      <c r="AE35" s="11" t="str">
        <f t="shared" si="19"/>
        <v>IoU 50</v>
      </c>
      <c r="AG35">
        <v>0.4837729328935359</v>
      </c>
      <c r="AH35">
        <v>0.31722916755853803</v>
      </c>
      <c r="AI35">
        <v>0.45037995840550171</v>
      </c>
      <c r="AK35" s="11" t="str">
        <f t="shared" si="10"/>
        <v>IoU 50</v>
      </c>
      <c r="AL35" s="11" t="str">
        <f t="shared" si="20"/>
        <v>IoU 50</v>
      </c>
      <c r="AM35" s="11" t="str">
        <f t="shared" si="21"/>
        <v>IoU 50</v>
      </c>
    </row>
    <row r="36" spans="1:39" ht="15" x14ac:dyDescent="0.25">
      <c r="A36" s="11">
        <v>0.56655457305634971</v>
      </c>
      <c r="B36" s="11">
        <v>0.46787886765170317</v>
      </c>
      <c r="C36" s="11">
        <v>0.33371169125993189</v>
      </c>
      <c r="E36" s="11" t="str">
        <f t="shared" si="13"/>
        <v>IoU 75</v>
      </c>
      <c r="F36" s="11" t="str">
        <f t="shared" si="0"/>
        <v>IoU 50</v>
      </c>
      <c r="G36" s="11" t="str">
        <f t="shared" si="1"/>
        <v>IoU 50</v>
      </c>
      <c r="I36" s="11">
        <v>0.81928613024810137</v>
      </c>
      <c r="J36" s="11">
        <v>0.56833162714599239</v>
      </c>
      <c r="K36" s="11">
        <v>0.75834208314642049</v>
      </c>
      <c r="M36" s="11" t="str">
        <f t="shared" si="2"/>
        <v>IoU 100</v>
      </c>
      <c r="N36" s="11" t="str">
        <f t="shared" si="14"/>
        <v>IoU 75</v>
      </c>
      <c r="O36" s="11" t="str">
        <f t="shared" si="15"/>
        <v>IoU 100</v>
      </c>
      <c r="Q36" s="11">
        <v>0.881138305629517</v>
      </c>
      <c r="R36" s="11">
        <v>0.71297879171888656</v>
      </c>
      <c r="S36" s="11">
        <v>0.71217139802747187</v>
      </c>
      <c r="U36" s="11" t="str">
        <f t="shared" si="22"/>
        <v>IoU 100</v>
      </c>
      <c r="V36" s="11" t="str">
        <f t="shared" si="16"/>
        <v>IoU 75</v>
      </c>
      <c r="W36" s="11" t="str">
        <f t="shared" si="17"/>
        <v>IoU 75</v>
      </c>
      <c r="Y36">
        <v>0.4488857071790377</v>
      </c>
      <c r="Z36">
        <v>0.63208712941014933</v>
      </c>
      <c r="AA36">
        <v>0.3690704231393549</v>
      </c>
      <c r="AC36" s="11" t="str">
        <f t="shared" si="24"/>
        <v>IoU 50</v>
      </c>
      <c r="AD36" s="11" t="str">
        <f t="shared" si="18"/>
        <v>IoU 75</v>
      </c>
      <c r="AE36" s="11" t="str">
        <f t="shared" si="19"/>
        <v>IoU 50</v>
      </c>
      <c r="AG36">
        <v>0.84831155092694743</v>
      </c>
      <c r="AH36">
        <v>0.42749973020049137</v>
      </c>
      <c r="AI36">
        <v>0.58845778820921757</v>
      </c>
      <c r="AK36" s="11" t="str">
        <f t="shared" si="10"/>
        <v>IoU 100</v>
      </c>
      <c r="AL36" s="11" t="str">
        <f t="shared" si="20"/>
        <v>IoU 50</v>
      </c>
      <c r="AM36" s="11" t="str">
        <f t="shared" si="21"/>
        <v>IoU 75</v>
      </c>
    </row>
    <row r="37" spans="1:39" ht="15" x14ac:dyDescent="0.25">
      <c r="A37" s="11">
        <v>0.85222088385401151</v>
      </c>
      <c r="B37" s="11">
        <v>0.66295825937325947</v>
      </c>
      <c r="C37" s="11">
        <v>0.68214435691293618</v>
      </c>
      <c r="E37" s="11" t="str">
        <f t="shared" si="13"/>
        <v>IoU 100</v>
      </c>
      <c r="F37" s="11" t="str">
        <f t="shared" si="0"/>
        <v>IoU 75</v>
      </c>
      <c r="G37" s="11" t="str">
        <f t="shared" si="1"/>
        <v>IoU 75</v>
      </c>
      <c r="I37" s="11">
        <v>0.89740581037664413</v>
      </c>
      <c r="J37" s="11">
        <v>0.71143983843353764</v>
      </c>
      <c r="K37" s="11">
        <v>0.63915361007914706</v>
      </c>
      <c r="M37" s="11" t="str">
        <f t="shared" si="2"/>
        <v>IoU 100</v>
      </c>
      <c r="N37" s="11" t="str">
        <f t="shared" si="14"/>
        <v>IoU 75</v>
      </c>
      <c r="O37" s="11" t="str">
        <f t="shared" si="15"/>
        <v>IoU 75</v>
      </c>
      <c r="Q37" s="11">
        <v>0.87267513198704361</v>
      </c>
      <c r="R37" s="11">
        <v>0.75391380653697726</v>
      </c>
      <c r="S37" s="11">
        <v>0.52129568967963669</v>
      </c>
      <c r="U37" s="11" t="str">
        <f t="shared" si="22"/>
        <v>IoU 100</v>
      </c>
      <c r="V37" s="11" t="str">
        <f t="shared" si="16"/>
        <v>IoU 100</v>
      </c>
      <c r="W37" s="11" t="str">
        <f t="shared" si="17"/>
        <v>IoU 75</v>
      </c>
      <c r="Y37">
        <v>0.43981184519991445</v>
      </c>
      <c r="Z37">
        <v>0.39888630611689491</v>
      </c>
      <c r="AA37">
        <v>0.52754301198967202</v>
      </c>
      <c r="AC37" s="11" t="str">
        <f t="shared" si="24"/>
        <v>IoU 50</v>
      </c>
      <c r="AD37" s="11" t="str">
        <f t="shared" si="18"/>
        <v>IoU 50</v>
      </c>
      <c r="AE37" s="11" t="str">
        <f t="shared" si="19"/>
        <v>IoU 75</v>
      </c>
      <c r="AG37">
        <v>0.89682650836428734</v>
      </c>
      <c r="AH37">
        <v>0.65055832751139131</v>
      </c>
      <c r="AI37">
        <v>0.56180072370399003</v>
      </c>
      <c r="AK37" s="11" t="str">
        <f t="shared" si="10"/>
        <v>IoU 100</v>
      </c>
      <c r="AL37" s="11" t="str">
        <f t="shared" si="20"/>
        <v>IoU 75</v>
      </c>
      <c r="AM37" s="11" t="str">
        <f t="shared" si="21"/>
        <v>IoU 75</v>
      </c>
    </row>
    <row r="38" spans="1:39" ht="15" x14ac:dyDescent="0.25">
      <c r="A38" s="11">
        <v>0.83683321267210165</v>
      </c>
      <c r="B38" s="11">
        <v>0.59285636071588166</v>
      </c>
      <c r="C38" s="11">
        <v>0.76612824942407964</v>
      </c>
      <c r="E38" s="11" t="str">
        <f t="shared" si="13"/>
        <v>IoU 100</v>
      </c>
      <c r="F38" s="11" t="str">
        <f t="shared" si="0"/>
        <v>IoU 75</v>
      </c>
      <c r="G38" s="11" t="str">
        <f t="shared" si="1"/>
        <v>IoU 100</v>
      </c>
      <c r="I38" s="11">
        <v>0.42310641385708109</v>
      </c>
      <c r="J38" s="11">
        <v>0.68559364014875857</v>
      </c>
      <c r="K38" s="11">
        <v>0.47430738546878637</v>
      </c>
      <c r="M38" s="11" t="str">
        <f t="shared" si="2"/>
        <v>IoU 50</v>
      </c>
      <c r="N38" s="11" t="str">
        <f t="shared" si="14"/>
        <v>IoU 75</v>
      </c>
      <c r="O38" s="11" t="str">
        <f t="shared" si="15"/>
        <v>IoU 50</v>
      </c>
      <c r="Q38" s="11">
        <v>0.85336578110192085</v>
      </c>
      <c r="R38" s="11">
        <v>0.8200600797397386</v>
      </c>
      <c r="S38" s="11">
        <v>0.61016030257069009</v>
      </c>
      <c r="U38" s="11" t="str">
        <f t="shared" si="22"/>
        <v>IoU 100</v>
      </c>
      <c r="V38" s="11" t="str">
        <f t="shared" si="16"/>
        <v>IoU 100</v>
      </c>
      <c r="W38" s="11" t="str">
        <f t="shared" si="17"/>
        <v>IoU 75</v>
      </c>
      <c r="Y38">
        <v>0.62458245681742208</v>
      </c>
      <c r="Z38">
        <v>0.27269001452965924</v>
      </c>
      <c r="AA38">
        <v>0.27216027358342348</v>
      </c>
      <c r="AC38" s="11" t="str">
        <f t="shared" si="24"/>
        <v>IoU 75</v>
      </c>
      <c r="AD38" s="11" t="str">
        <f t="shared" si="18"/>
        <v>IoU 50</v>
      </c>
      <c r="AE38" s="11" t="str">
        <f t="shared" si="19"/>
        <v>IoU 50</v>
      </c>
      <c r="AG38">
        <v>0.86257210444996524</v>
      </c>
      <c r="AH38">
        <v>0.56746764891229029</v>
      </c>
      <c r="AI38">
        <v>0.57498728954406986</v>
      </c>
      <c r="AK38" s="11" t="str">
        <f t="shared" si="10"/>
        <v>IoU 100</v>
      </c>
      <c r="AL38" s="11" t="str">
        <f t="shared" si="20"/>
        <v>IoU 75</v>
      </c>
      <c r="AM38" s="11" t="str">
        <f t="shared" si="21"/>
        <v>IoU 75</v>
      </c>
    </row>
    <row r="39" spans="1:39" ht="15" x14ac:dyDescent="0.25">
      <c r="A39" s="11">
        <v>0.58775409726002736</v>
      </c>
      <c r="B39" s="11">
        <v>0.48142141037628222</v>
      </c>
      <c r="C39" s="11">
        <v>0.65857480662272505</v>
      </c>
      <c r="E39" s="11" t="str">
        <f t="shared" si="13"/>
        <v>IoU 75</v>
      </c>
      <c r="F39" s="11" t="str">
        <f t="shared" si="0"/>
        <v>IoU 50</v>
      </c>
      <c r="G39" s="11" t="str">
        <f t="shared" si="1"/>
        <v>IoU 75</v>
      </c>
      <c r="I39" s="11">
        <v>0.82318260910853502</v>
      </c>
      <c r="J39" s="11">
        <v>0.61740670193839875</v>
      </c>
      <c r="K39" s="11">
        <v>0.74401408957938786</v>
      </c>
      <c r="M39" s="11" t="str">
        <f t="shared" si="2"/>
        <v>IoU 100</v>
      </c>
      <c r="N39" s="11" t="str">
        <f t="shared" si="14"/>
        <v>IoU 75</v>
      </c>
      <c r="O39" s="11" t="str">
        <f t="shared" si="15"/>
        <v>IoU 75</v>
      </c>
      <c r="Q39" s="11">
        <v>0.8890483438486203</v>
      </c>
      <c r="R39" s="11">
        <v>0.74191658548410921</v>
      </c>
      <c r="S39" s="11">
        <v>0.70315082100102977</v>
      </c>
      <c r="U39" s="11" t="str">
        <f t="shared" si="22"/>
        <v>IoU 100</v>
      </c>
      <c r="V39" s="11" t="str">
        <f t="shared" si="16"/>
        <v>IoU 75</v>
      </c>
      <c r="W39" s="11" t="str">
        <f t="shared" si="17"/>
        <v>IoU 75</v>
      </c>
      <c r="Y39">
        <v>0.35232746828782174</v>
      </c>
      <c r="Z39">
        <v>4.0210547565658469E-3</v>
      </c>
      <c r="AA39">
        <v>5.3695820433436535E-2</v>
      </c>
      <c r="AC39" s="11" t="str">
        <f t="shared" si="24"/>
        <v>IoU 50</v>
      </c>
      <c r="AD39" s="11" t="str">
        <f t="shared" si="18"/>
        <v>IoU 25</v>
      </c>
      <c r="AE39" s="11" t="str">
        <f t="shared" si="19"/>
        <v>IoU 25</v>
      </c>
      <c r="AG39">
        <v>0.84248010327987743</v>
      </c>
      <c r="AH39">
        <v>0.52795887823835719</v>
      </c>
      <c r="AI39">
        <v>0.49431431270181814</v>
      </c>
      <c r="AK39" s="11" t="str">
        <f t="shared" si="10"/>
        <v>IoU 100</v>
      </c>
      <c r="AL39" s="11" t="str">
        <f t="shared" si="20"/>
        <v>IoU 75</v>
      </c>
      <c r="AM39" s="11" t="str">
        <f t="shared" si="21"/>
        <v>IoU 50</v>
      </c>
    </row>
    <row r="40" spans="1:39" ht="15" x14ac:dyDescent="0.25">
      <c r="A40" s="11">
        <v>0.7002223786003724</v>
      </c>
      <c r="B40" s="11">
        <v>0.30024553654657454</v>
      </c>
      <c r="C40" s="11">
        <v>0.32554113113825278</v>
      </c>
      <c r="E40" s="11" t="str">
        <f t="shared" si="13"/>
        <v>IoU 75</v>
      </c>
      <c r="F40" s="11" t="str">
        <f t="shared" si="0"/>
        <v>IoU 50</v>
      </c>
      <c r="G40" s="11" t="str">
        <f t="shared" si="1"/>
        <v>IoU 50</v>
      </c>
      <c r="I40" s="11">
        <v>0.44572370314401033</v>
      </c>
      <c r="J40" s="11">
        <v>0.38363756721405662</v>
      </c>
      <c r="K40" s="11">
        <v>0.35728885708454539</v>
      </c>
      <c r="M40" s="11" t="str">
        <f t="shared" si="2"/>
        <v>IoU 50</v>
      </c>
      <c r="N40" s="11" t="str">
        <f t="shared" si="14"/>
        <v>IoU 50</v>
      </c>
      <c r="O40" s="11" t="str">
        <f t="shared" si="15"/>
        <v>IoU 50</v>
      </c>
      <c r="Q40" s="11">
        <v>0.90102966400812101</v>
      </c>
      <c r="R40" s="11">
        <v>0.71155553166217667</v>
      </c>
      <c r="S40" s="11">
        <v>0.75117215597120013</v>
      </c>
      <c r="U40" s="11" t="str">
        <f t="shared" si="22"/>
        <v>IoU 100</v>
      </c>
      <c r="V40" s="11" t="str">
        <f t="shared" si="16"/>
        <v>IoU 75</v>
      </c>
      <c r="W40" s="11" t="str">
        <f t="shared" si="17"/>
        <v>IoU 100</v>
      </c>
      <c r="Y40">
        <v>0.42971590528656428</v>
      </c>
      <c r="Z40">
        <v>0.73721455404498548</v>
      </c>
      <c r="AA40">
        <v>0.26018806389934446</v>
      </c>
      <c r="AC40" s="11" t="str">
        <f t="shared" si="24"/>
        <v>IoU 50</v>
      </c>
      <c r="AD40" s="11" t="str">
        <f t="shared" si="18"/>
        <v>IoU 75</v>
      </c>
      <c r="AE40" s="11" t="str">
        <f t="shared" si="19"/>
        <v>IoU 50</v>
      </c>
      <c r="AG40">
        <v>0.87836443062249225</v>
      </c>
      <c r="AH40">
        <v>0.63591921496123338</v>
      </c>
      <c r="AI40">
        <v>0.58383912260729132</v>
      </c>
      <c r="AK40" s="11" t="str">
        <f t="shared" si="10"/>
        <v>IoU 100</v>
      </c>
      <c r="AL40" s="11" t="str">
        <f t="shared" si="20"/>
        <v>IoU 75</v>
      </c>
      <c r="AM40" s="11" t="str">
        <f t="shared" si="21"/>
        <v>IoU 75</v>
      </c>
    </row>
    <row r="41" spans="1:39" ht="15" x14ac:dyDescent="0.25">
      <c r="Y41">
        <v>0.5812156920079663</v>
      </c>
      <c r="Z41">
        <v>0.42354948712141904</v>
      </c>
      <c r="AA41">
        <v>0.2636157337367625</v>
      </c>
      <c r="AC41" s="11" t="str">
        <f t="shared" si="24"/>
        <v>IoU 75</v>
      </c>
      <c r="AD41" s="11" t="str">
        <f t="shared" si="18"/>
        <v>IoU 50</v>
      </c>
      <c r="AE41" s="11" t="str">
        <f t="shared" si="19"/>
        <v>IoU 50</v>
      </c>
      <c r="AG41">
        <v>0.40364616767235845</v>
      </c>
      <c r="AH41">
        <v>0.33343391671695838</v>
      </c>
      <c r="AI41">
        <v>0.33517045473567214</v>
      </c>
      <c r="AK41" s="11" t="str">
        <f t="shared" si="10"/>
        <v>IoU 50</v>
      </c>
      <c r="AL41" s="11" t="str">
        <f t="shared" si="20"/>
        <v>IoU 50</v>
      </c>
      <c r="AM41" s="11" t="str">
        <f t="shared" si="21"/>
        <v>IoU 50</v>
      </c>
    </row>
    <row r="42" spans="1:39" ht="15" x14ac:dyDescent="0.25">
      <c r="A42" s="11">
        <v>0.50749709554203226</v>
      </c>
      <c r="B42" s="11">
        <v>0.4081222356252513</v>
      </c>
      <c r="C42" s="11">
        <v>0.44339296394169569</v>
      </c>
      <c r="E42" s="11" t="str">
        <f t="shared" si="13"/>
        <v>IoU 75</v>
      </c>
      <c r="F42" s="11" t="str">
        <f t="shared" si="0"/>
        <v>IoU 50</v>
      </c>
      <c r="G42" s="11" t="str">
        <f t="shared" si="1"/>
        <v>IoU 50</v>
      </c>
      <c r="I42" s="11">
        <v>0.80743764961242204</v>
      </c>
      <c r="J42" s="11">
        <v>0.78357577697124858</v>
      </c>
      <c r="K42" s="11">
        <v>0.79608547803247409</v>
      </c>
      <c r="M42" s="11" t="str">
        <f t="shared" ref="M42:M73" si="25">VLOOKUP(I42,IoU_Thresholds,2,TRUE)</f>
        <v>IoU 100</v>
      </c>
      <c r="N42" s="11" t="str">
        <f t="shared" si="14"/>
        <v>IoU 100</v>
      </c>
      <c r="O42" s="11" t="str">
        <f t="shared" si="15"/>
        <v>IoU 100</v>
      </c>
      <c r="Q42" s="11">
        <v>0.87877574393816915</v>
      </c>
      <c r="R42" s="11">
        <v>0.72962517800204962</v>
      </c>
      <c r="S42" s="11">
        <v>0.70314637762436538</v>
      </c>
      <c r="U42" s="11" t="str">
        <f t="shared" ref="U42:U75" si="26">VLOOKUP(Q42,IoU_Thresholds,2,TRUE)</f>
        <v>IoU 100</v>
      </c>
      <c r="V42" s="11" t="str">
        <f t="shared" si="16"/>
        <v>IoU 75</v>
      </c>
      <c r="W42" s="11" t="str">
        <f t="shared" si="17"/>
        <v>IoU 75</v>
      </c>
      <c r="Y42"/>
      <c r="Z42"/>
      <c r="AA42"/>
      <c r="AG42">
        <v>0.87074013663996952</v>
      </c>
      <c r="AH42">
        <v>0.49717692836914268</v>
      </c>
      <c r="AI42">
        <v>0.55342602148223463</v>
      </c>
      <c r="AK42" s="11" t="str">
        <f t="shared" si="10"/>
        <v>IoU 100</v>
      </c>
      <c r="AL42" s="11" t="str">
        <f t="shared" si="20"/>
        <v>IoU 50</v>
      </c>
      <c r="AM42" s="11" t="str">
        <f t="shared" si="21"/>
        <v>IoU 75</v>
      </c>
    </row>
    <row r="43" spans="1:39" ht="15" x14ac:dyDescent="0.25">
      <c r="A43" s="11">
        <v>0.40442346179504285</v>
      </c>
      <c r="B43" s="11">
        <v>0.45107758798247544</v>
      </c>
      <c r="C43" s="11">
        <v>0.3471160464045423</v>
      </c>
      <c r="E43" s="11" t="str">
        <f t="shared" si="13"/>
        <v>IoU 50</v>
      </c>
      <c r="F43" s="11" t="str">
        <f t="shared" si="0"/>
        <v>IoU 50</v>
      </c>
      <c r="G43" s="11" t="str">
        <f t="shared" si="1"/>
        <v>IoU 50</v>
      </c>
      <c r="I43" s="11">
        <v>0.59312934993520694</v>
      </c>
      <c r="J43" s="11">
        <v>0.38341299231248971</v>
      </c>
      <c r="K43" s="11">
        <v>0.77723148067400283</v>
      </c>
      <c r="M43" s="11" t="str">
        <f t="shared" si="25"/>
        <v>IoU 75</v>
      </c>
      <c r="N43" s="11" t="str">
        <f t="shared" si="14"/>
        <v>IoU 50</v>
      </c>
      <c r="O43" s="11" t="str">
        <f t="shared" si="15"/>
        <v>IoU 100</v>
      </c>
      <c r="Q43" s="11">
        <v>0.79534692628729542</v>
      </c>
      <c r="R43" s="11">
        <v>0.51968385071465362</v>
      </c>
      <c r="S43" s="11">
        <v>0.69428747333554686</v>
      </c>
      <c r="U43" s="11" t="str">
        <f t="shared" si="26"/>
        <v>IoU 100</v>
      </c>
      <c r="V43" s="11" t="str">
        <f t="shared" si="16"/>
        <v>IoU 75</v>
      </c>
      <c r="W43" s="11" t="str">
        <f t="shared" si="17"/>
        <v>IoU 75</v>
      </c>
      <c r="Y43">
        <v>0.56867416426763651</v>
      </c>
      <c r="Z43">
        <v>0.70989439691654621</v>
      </c>
      <c r="AA43">
        <v>0.41123038810900081</v>
      </c>
      <c r="AC43" s="11" t="str">
        <f t="shared" ref="AC43:AC58" si="27">VLOOKUP(Y43,IoU_Thresholds,2,TRUE)</f>
        <v>IoU 75</v>
      </c>
      <c r="AD43" s="11" t="str">
        <f t="shared" si="18"/>
        <v>IoU 75</v>
      </c>
      <c r="AE43" s="11" t="str">
        <f t="shared" si="19"/>
        <v>IoU 50</v>
      </c>
      <c r="AG43">
        <v>0.90294366884904997</v>
      </c>
      <c r="AH43">
        <v>0.59413103396962663</v>
      </c>
      <c r="AI43">
        <v>0.63482844255838389</v>
      </c>
      <c r="AK43" s="11" t="str">
        <f t="shared" si="10"/>
        <v>IoU 100</v>
      </c>
      <c r="AL43" s="11" t="str">
        <f t="shared" si="20"/>
        <v>IoU 75</v>
      </c>
      <c r="AM43" s="11" t="str">
        <f t="shared" si="21"/>
        <v>IoU 75</v>
      </c>
    </row>
    <row r="44" spans="1:39" ht="15" x14ac:dyDescent="0.25">
      <c r="A44" s="11">
        <v>0.85940989805463941</v>
      </c>
      <c r="B44" s="11">
        <v>0.59576017004263027</v>
      </c>
      <c r="C44" s="11">
        <v>0.70685859959953889</v>
      </c>
      <c r="E44" s="11" t="str">
        <f t="shared" si="13"/>
        <v>IoU 100</v>
      </c>
      <c r="F44" s="11" t="str">
        <f t="shared" si="0"/>
        <v>IoU 75</v>
      </c>
      <c r="G44" s="11" t="str">
        <f t="shared" si="1"/>
        <v>IoU 75</v>
      </c>
      <c r="I44" s="11">
        <v>0.55703350866201673</v>
      </c>
      <c r="J44" s="11">
        <v>0.2651473040578099</v>
      </c>
      <c r="K44" s="11">
        <v>0.3325435658034161</v>
      </c>
      <c r="M44" s="11" t="str">
        <f t="shared" si="25"/>
        <v>IoU 75</v>
      </c>
      <c r="N44" s="11" t="str">
        <f t="shared" si="14"/>
        <v>IoU 50</v>
      </c>
      <c r="O44" s="11" t="str">
        <f t="shared" si="15"/>
        <v>IoU 50</v>
      </c>
      <c r="Q44" s="11">
        <v>0.80783853303970843</v>
      </c>
      <c r="R44" s="11">
        <v>0.33205714819310861</v>
      </c>
      <c r="S44" s="11">
        <v>0.33645726055612768</v>
      </c>
      <c r="U44" s="11" t="str">
        <f t="shared" si="26"/>
        <v>IoU 100</v>
      </c>
      <c r="V44" s="11" t="str">
        <f t="shared" si="16"/>
        <v>IoU 50</v>
      </c>
      <c r="W44" s="11" t="str">
        <f t="shared" si="17"/>
        <v>IoU 50</v>
      </c>
      <c r="Y44">
        <v>0.43097340792045907</v>
      </c>
      <c r="Z44">
        <v>0.47659329810255102</v>
      </c>
      <c r="AA44">
        <v>0</v>
      </c>
      <c r="AC44" s="11" t="str">
        <f t="shared" si="27"/>
        <v>IoU 50</v>
      </c>
      <c r="AD44" s="11" t="str">
        <f t="shared" si="18"/>
        <v>IoU 50</v>
      </c>
      <c r="AE44" s="11" t="str">
        <f t="shared" si="19"/>
        <v>IoU 25</v>
      </c>
      <c r="AG44">
        <v>0.41932573209744894</v>
      </c>
      <c r="AH44">
        <v>0.62640312037923518</v>
      </c>
      <c r="AI44">
        <v>0.3230825767133918</v>
      </c>
      <c r="AK44" s="11" t="str">
        <f t="shared" si="10"/>
        <v>IoU 50</v>
      </c>
      <c r="AL44" s="11" t="str">
        <f t="shared" si="20"/>
        <v>IoU 75</v>
      </c>
      <c r="AM44" s="11" t="str">
        <f t="shared" si="21"/>
        <v>IoU 50</v>
      </c>
    </row>
    <row r="45" spans="1:39" ht="15" x14ac:dyDescent="0.25">
      <c r="A45" s="11">
        <v>0.80930495583627049</v>
      </c>
      <c r="B45" s="11">
        <v>0.78836529717573978</v>
      </c>
      <c r="C45" s="11">
        <v>0.74682907836412626</v>
      </c>
      <c r="E45" s="11" t="str">
        <f t="shared" si="13"/>
        <v>IoU 100</v>
      </c>
      <c r="F45" s="11" t="str">
        <f t="shared" si="0"/>
        <v>IoU 100</v>
      </c>
      <c r="G45" s="11" t="str">
        <f t="shared" si="1"/>
        <v>IoU 75</v>
      </c>
      <c r="I45" s="11">
        <v>8.8303980714481811E-2</v>
      </c>
      <c r="J45" s="11">
        <v>0.10912917046810047</v>
      </c>
      <c r="K45" s="11">
        <v>0</v>
      </c>
      <c r="M45" s="11" t="str">
        <f t="shared" si="25"/>
        <v>IoU 25</v>
      </c>
      <c r="N45" s="11" t="str">
        <f t="shared" si="14"/>
        <v>IoU 25</v>
      </c>
      <c r="O45" s="11" t="str">
        <f t="shared" si="15"/>
        <v>IoU 25</v>
      </c>
      <c r="Q45" s="11">
        <v>0.76497843618634509</v>
      </c>
      <c r="R45" s="11">
        <v>0.498857843485152</v>
      </c>
      <c r="S45" s="11">
        <v>0.60603302702068018</v>
      </c>
      <c r="U45" s="11" t="str">
        <f t="shared" si="26"/>
        <v>IoU 100</v>
      </c>
      <c r="V45" s="11" t="str">
        <f t="shared" si="16"/>
        <v>IoU 50</v>
      </c>
      <c r="W45" s="11" t="str">
        <f t="shared" si="17"/>
        <v>IoU 75</v>
      </c>
      <c r="Y45">
        <v>0.53027598346475291</v>
      </c>
      <c r="Z45">
        <v>0.79186366988438273</v>
      </c>
      <c r="AA45">
        <v>0.25359989735538835</v>
      </c>
      <c r="AC45" s="11" t="str">
        <f t="shared" si="27"/>
        <v>IoU 75</v>
      </c>
      <c r="AD45" s="11" t="str">
        <f t="shared" si="18"/>
        <v>IoU 100</v>
      </c>
      <c r="AE45" s="11" t="str">
        <f t="shared" si="19"/>
        <v>IoU 50</v>
      </c>
      <c r="AG45">
        <v>0.86845781675381772</v>
      </c>
      <c r="AH45">
        <v>0.65154891299922368</v>
      </c>
      <c r="AI45">
        <v>0.68046591171855964</v>
      </c>
      <c r="AK45" s="11" t="str">
        <f t="shared" si="10"/>
        <v>IoU 100</v>
      </c>
      <c r="AL45" s="11" t="str">
        <f t="shared" si="20"/>
        <v>IoU 75</v>
      </c>
      <c r="AM45" s="11" t="str">
        <f t="shared" si="21"/>
        <v>IoU 75</v>
      </c>
    </row>
    <row r="46" spans="1:39" ht="15" x14ac:dyDescent="0.25">
      <c r="A46" s="11">
        <v>0.86536592018763181</v>
      </c>
      <c r="B46" s="11">
        <v>0.60118500033812683</v>
      </c>
      <c r="C46" s="11">
        <v>0.66355337455667418</v>
      </c>
      <c r="E46" s="11" t="str">
        <f t="shared" si="13"/>
        <v>IoU 100</v>
      </c>
      <c r="F46" s="11" t="str">
        <f t="shared" si="0"/>
        <v>IoU 75</v>
      </c>
      <c r="G46" s="11" t="str">
        <f t="shared" si="1"/>
        <v>IoU 75</v>
      </c>
      <c r="I46" s="11">
        <v>0.89972986989596726</v>
      </c>
      <c r="J46" s="11">
        <v>0.68792457604590029</v>
      </c>
      <c r="K46" s="11">
        <v>0.77046946186834064</v>
      </c>
      <c r="M46" s="11" t="str">
        <f t="shared" si="25"/>
        <v>IoU 100</v>
      </c>
      <c r="N46" s="11" t="str">
        <f t="shared" si="14"/>
        <v>IoU 75</v>
      </c>
      <c r="O46" s="11" t="str">
        <f t="shared" si="15"/>
        <v>IoU 100</v>
      </c>
      <c r="Q46" s="11">
        <v>0.37724326094639876</v>
      </c>
      <c r="R46" s="11">
        <v>0.30252430834866456</v>
      </c>
      <c r="S46" s="11">
        <v>0.46550491066509353</v>
      </c>
      <c r="U46" s="11" t="str">
        <f t="shared" si="26"/>
        <v>IoU 50</v>
      </c>
      <c r="V46" s="11" t="str">
        <f t="shared" si="16"/>
        <v>IoU 50</v>
      </c>
      <c r="W46" s="11" t="str">
        <f t="shared" si="17"/>
        <v>IoU 50</v>
      </c>
      <c r="Y46">
        <v>0.40812411657804404</v>
      </c>
      <c r="Z46">
        <v>0.58948629111820283</v>
      </c>
      <c r="AA46">
        <v>0.21822849807445444</v>
      </c>
      <c r="AC46" s="11" t="str">
        <f t="shared" si="27"/>
        <v>IoU 50</v>
      </c>
      <c r="AD46" s="11" t="str">
        <f t="shared" si="18"/>
        <v>IoU 75</v>
      </c>
      <c r="AE46" s="11" t="str">
        <f t="shared" si="19"/>
        <v>IoU 25</v>
      </c>
      <c r="AG46">
        <v>0.41299689568967884</v>
      </c>
      <c r="AH46">
        <v>0.45754685098193215</v>
      </c>
      <c r="AI46">
        <v>0.19598853868194843</v>
      </c>
      <c r="AK46" s="11" t="str">
        <f t="shared" si="10"/>
        <v>IoU 50</v>
      </c>
      <c r="AL46" s="11" t="str">
        <f t="shared" si="20"/>
        <v>IoU 50</v>
      </c>
      <c r="AM46" s="11" t="str">
        <f t="shared" si="21"/>
        <v>IoU 25</v>
      </c>
    </row>
    <row r="47" spans="1:39" ht="15" x14ac:dyDescent="0.25">
      <c r="A47" s="11">
        <v>0.88899541859573339</v>
      </c>
      <c r="B47" s="11">
        <v>0.59484345273262274</v>
      </c>
      <c r="C47" s="11">
        <v>0.70464338215561517</v>
      </c>
      <c r="E47" s="11" t="str">
        <f t="shared" si="13"/>
        <v>IoU 100</v>
      </c>
      <c r="F47" s="11" t="str">
        <f t="shared" si="0"/>
        <v>IoU 75</v>
      </c>
      <c r="G47" s="11" t="str">
        <f t="shared" si="1"/>
        <v>IoU 75</v>
      </c>
      <c r="I47" s="11">
        <v>0.70461056079932305</v>
      </c>
      <c r="J47" s="11">
        <v>0.77904157274810182</v>
      </c>
      <c r="K47" s="11">
        <v>0.3155339805825243</v>
      </c>
      <c r="M47" s="11" t="str">
        <f t="shared" si="25"/>
        <v>IoU 75</v>
      </c>
      <c r="N47" s="11" t="str">
        <f t="shared" si="14"/>
        <v>IoU 100</v>
      </c>
      <c r="O47" s="11" t="str">
        <f t="shared" si="15"/>
        <v>IoU 50</v>
      </c>
      <c r="Q47" s="11">
        <v>0.88974206120963362</v>
      </c>
      <c r="R47" s="11">
        <v>0.65480947195434946</v>
      </c>
      <c r="S47" s="11">
        <v>0.82636732639189314</v>
      </c>
      <c r="U47" s="11" t="str">
        <f t="shared" si="26"/>
        <v>IoU 100</v>
      </c>
      <c r="V47" s="11" t="str">
        <f t="shared" si="16"/>
        <v>IoU 75</v>
      </c>
      <c r="W47" s="11" t="str">
        <f t="shared" si="17"/>
        <v>IoU 100</v>
      </c>
      <c r="Y47">
        <v>0.56431445983301576</v>
      </c>
      <c r="Z47">
        <v>0.51089300383929326</v>
      </c>
      <c r="AA47">
        <v>0.14027000329272307</v>
      </c>
      <c r="AC47" s="11" t="str">
        <f t="shared" si="27"/>
        <v>IoU 75</v>
      </c>
      <c r="AD47" s="11" t="str">
        <f t="shared" si="18"/>
        <v>IoU 75</v>
      </c>
      <c r="AE47" s="11" t="str">
        <f t="shared" si="19"/>
        <v>IoU 25</v>
      </c>
      <c r="AG47">
        <v>0.4505658765748452</v>
      </c>
      <c r="AH47">
        <v>0.33665812847721971</v>
      </c>
      <c r="AI47">
        <v>0.38767174155217232</v>
      </c>
      <c r="AK47" s="11" t="str">
        <f t="shared" si="10"/>
        <v>IoU 50</v>
      </c>
      <c r="AL47" s="11" t="str">
        <f t="shared" si="20"/>
        <v>IoU 50</v>
      </c>
      <c r="AM47" s="11" t="str">
        <f t="shared" si="21"/>
        <v>IoU 50</v>
      </c>
    </row>
    <row r="48" spans="1:39" ht="15" x14ac:dyDescent="0.25">
      <c r="A48" s="11">
        <v>0.83939561315284106</v>
      </c>
      <c r="B48" s="11">
        <v>0.74387364397525713</v>
      </c>
      <c r="C48" s="11">
        <v>0.78722059106860653</v>
      </c>
      <c r="E48" s="11" t="str">
        <f t="shared" si="13"/>
        <v>IoU 100</v>
      </c>
      <c r="F48" s="11" t="str">
        <f t="shared" si="0"/>
        <v>IoU 75</v>
      </c>
      <c r="G48" s="11" t="str">
        <f t="shared" si="1"/>
        <v>IoU 100</v>
      </c>
      <c r="I48" s="11">
        <v>0.85440792082768646</v>
      </c>
      <c r="J48" s="11">
        <v>0.71460110755233064</v>
      </c>
      <c r="K48" s="11">
        <v>0.76479351563147335</v>
      </c>
      <c r="M48" s="11" t="str">
        <f t="shared" si="25"/>
        <v>IoU 100</v>
      </c>
      <c r="N48" s="11" t="str">
        <f t="shared" si="14"/>
        <v>IoU 75</v>
      </c>
      <c r="O48" s="11" t="str">
        <f t="shared" si="15"/>
        <v>IoU 100</v>
      </c>
      <c r="Q48" s="11">
        <v>0.76967748845767869</v>
      </c>
      <c r="R48" s="11">
        <v>0.35300284727399089</v>
      </c>
      <c r="S48" s="11">
        <v>0.40275789497382686</v>
      </c>
      <c r="U48" s="11" t="str">
        <f t="shared" si="26"/>
        <v>IoU 100</v>
      </c>
      <c r="V48" s="11" t="str">
        <f t="shared" si="16"/>
        <v>IoU 50</v>
      </c>
      <c r="W48" s="11" t="str">
        <f t="shared" si="17"/>
        <v>IoU 50</v>
      </c>
      <c r="Y48">
        <v>0.4325584767059733</v>
      </c>
      <c r="Z48">
        <v>0.63679371501200466</v>
      </c>
      <c r="AA48">
        <v>0.25895125882854425</v>
      </c>
      <c r="AC48" s="11" t="str">
        <f t="shared" si="27"/>
        <v>IoU 50</v>
      </c>
      <c r="AD48" s="11" t="str">
        <f t="shared" si="18"/>
        <v>IoU 75</v>
      </c>
      <c r="AE48" s="11" t="str">
        <f t="shared" si="19"/>
        <v>IoU 50</v>
      </c>
      <c r="AG48">
        <v>0.42486824290366221</v>
      </c>
      <c r="AH48">
        <v>0.26929615776946619</v>
      </c>
      <c r="AI48">
        <v>0.16106196464690531</v>
      </c>
      <c r="AK48" s="11" t="str">
        <f t="shared" si="10"/>
        <v>IoU 50</v>
      </c>
      <c r="AL48" s="11" t="str">
        <f t="shared" si="20"/>
        <v>IoU 50</v>
      </c>
      <c r="AM48" s="11" t="str">
        <f t="shared" si="21"/>
        <v>IoU 25</v>
      </c>
    </row>
    <row r="49" spans="1:39" ht="15" x14ac:dyDescent="0.25">
      <c r="A49" s="11">
        <v>0.85243782574152083</v>
      </c>
      <c r="B49" s="11">
        <v>0.75130243836443289</v>
      </c>
      <c r="C49" s="11">
        <v>0.62945410675027613</v>
      </c>
      <c r="E49" s="11" t="str">
        <f t="shared" si="13"/>
        <v>IoU 100</v>
      </c>
      <c r="F49" s="11" t="str">
        <f t="shared" si="0"/>
        <v>IoU 100</v>
      </c>
      <c r="G49" s="11" t="str">
        <f t="shared" si="1"/>
        <v>IoU 75</v>
      </c>
      <c r="I49" s="11">
        <v>0.83587676840634229</v>
      </c>
      <c r="J49" s="11">
        <v>0.79905951056001467</v>
      </c>
      <c r="K49" s="11">
        <v>0.71551362342936575</v>
      </c>
      <c r="M49" s="11" t="str">
        <f t="shared" si="25"/>
        <v>IoU 100</v>
      </c>
      <c r="N49" s="11" t="str">
        <f t="shared" si="14"/>
        <v>IoU 100</v>
      </c>
      <c r="O49" s="11" t="str">
        <f t="shared" si="15"/>
        <v>IoU 75</v>
      </c>
      <c r="Q49" s="11">
        <v>0.85311679419763586</v>
      </c>
      <c r="R49" s="11">
        <v>0.39521567982970995</v>
      </c>
      <c r="S49" s="11">
        <v>0.33498397902708998</v>
      </c>
      <c r="U49" s="11" t="str">
        <f t="shared" si="26"/>
        <v>IoU 100</v>
      </c>
      <c r="V49" s="11" t="str">
        <f t="shared" si="16"/>
        <v>IoU 50</v>
      </c>
      <c r="W49" s="11" t="str">
        <f t="shared" si="17"/>
        <v>IoU 50</v>
      </c>
      <c r="Y49">
        <v>0.4472258389684573</v>
      </c>
      <c r="Z49">
        <v>0.69521052855182408</v>
      </c>
      <c r="AA49">
        <v>0.44638769847907639</v>
      </c>
      <c r="AC49" s="11" t="str">
        <f t="shared" si="27"/>
        <v>IoU 50</v>
      </c>
      <c r="AD49" s="11" t="str">
        <f t="shared" si="18"/>
        <v>IoU 75</v>
      </c>
      <c r="AE49" s="11" t="str">
        <f t="shared" si="19"/>
        <v>IoU 50</v>
      </c>
      <c r="AG49">
        <v>0.43242379382275753</v>
      </c>
      <c r="AH49">
        <v>0.35796340985790304</v>
      </c>
      <c r="AI49">
        <v>0.18201462765957446</v>
      </c>
      <c r="AK49" s="11" t="str">
        <f t="shared" si="10"/>
        <v>IoU 50</v>
      </c>
      <c r="AL49" s="11" t="str">
        <f t="shared" si="20"/>
        <v>IoU 50</v>
      </c>
      <c r="AM49" s="11" t="str">
        <f t="shared" si="21"/>
        <v>IoU 25</v>
      </c>
    </row>
    <row r="50" spans="1:39" ht="15" x14ac:dyDescent="0.25">
      <c r="A50" s="11">
        <v>0.4498948623795625</v>
      </c>
      <c r="B50" s="11">
        <v>0.73164467213483775</v>
      </c>
      <c r="C50" s="11">
        <v>0.59626202001405204</v>
      </c>
      <c r="E50" s="11" t="str">
        <f t="shared" si="13"/>
        <v>IoU 50</v>
      </c>
      <c r="F50" s="11" t="str">
        <f t="shared" si="0"/>
        <v>IoU 75</v>
      </c>
      <c r="G50" s="11" t="str">
        <f t="shared" si="1"/>
        <v>IoU 75</v>
      </c>
      <c r="I50" s="11">
        <v>0.76073471133410209</v>
      </c>
      <c r="J50" s="11">
        <v>0.5917632136130605</v>
      </c>
      <c r="K50" s="11">
        <v>0.6100037917012473</v>
      </c>
      <c r="M50" s="11" t="str">
        <f t="shared" si="25"/>
        <v>IoU 100</v>
      </c>
      <c r="N50" s="11" t="str">
        <f t="shared" si="14"/>
        <v>IoU 75</v>
      </c>
      <c r="O50" s="11" t="str">
        <f t="shared" si="15"/>
        <v>IoU 75</v>
      </c>
      <c r="Q50" s="11">
        <v>0.8040179807122253</v>
      </c>
      <c r="R50" s="11">
        <v>0.63592420878824241</v>
      </c>
      <c r="S50" s="11">
        <v>0.64625426658819562</v>
      </c>
      <c r="U50" s="11" t="str">
        <f t="shared" si="26"/>
        <v>IoU 100</v>
      </c>
      <c r="V50" s="11" t="str">
        <f t="shared" si="16"/>
        <v>IoU 75</v>
      </c>
      <c r="W50" s="11" t="str">
        <f t="shared" si="17"/>
        <v>IoU 75</v>
      </c>
      <c r="Y50">
        <v>0.51322775807867127</v>
      </c>
      <c r="Z50">
        <v>0.48292298343035339</v>
      </c>
      <c r="AA50">
        <v>0.36882845188284519</v>
      </c>
      <c r="AC50" s="11" t="str">
        <f t="shared" si="27"/>
        <v>IoU 75</v>
      </c>
      <c r="AD50" s="11" t="str">
        <f t="shared" si="18"/>
        <v>IoU 50</v>
      </c>
      <c r="AE50" s="11" t="str">
        <f t="shared" si="19"/>
        <v>IoU 50</v>
      </c>
      <c r="AG50">
        <v>0.82328683937349689</v>
      </c>
      <c r="AH50">
        <v>0.65700903237416453</v>
      </c>
      <c r="AI50">
        <v>0.27791313331680306</v>
      </c>
      <c r="AK50" s="11" t="str">
        <f t="shared" si="10"/>
        <v>IoU 100</v>
      </c>
      <c r="AL50" s="11" t="str">
        <f t="shared" si="20"/>
        <v>IoU 75</v>
      </c>
      <c r="AM50" s="11" t="str">
        <f t="shared" si="21"/>
        <v>IoU 50</v>
      </c>
    </row>
    <row r="51" spans="1:39" ht="15" x14ac:dyDescent="0.25">
      <c r="A51" s="11">
        <v>0.82233650169265604</v>
      </c>
      <c r="B51" s="11">
        <v>0.75599630429604237</v>
      </c>
      <c r="C51" s="11">
        <v>0.6276828352244922</v>
      </c>
      <c r="E51" s="11" t="str">
        <f t="shared" si="13"/>
        <v>IoU 100</v>
      </c>
      <c r="F51" s="11" t="str">
        <f t="shared" si="0"/>
        <v>IoU 100</v>
      </c>
      <c r="G51" s="11" t="str">
        <f t="shared" si="1"/>
        <v>IoU 75</v>
      </c>
      <c r="I51" s="11">
        <v>0.85424394689127192</v>
      </c>
      <c r="J51" s="11">
        <v>0.7153005242594046</v>
      </c>
      <c r="K51" s="11">
        <v>0.62650042895384428</v>
      </c>
      <c r="M51" s="11" t="str">
        <f t="shared" si="25"/>
        <v>IoU 100</v>
      </c>
      <c r="N51" s="11" t="str">
        <f t="shared" si="14"/>
        <v>IoU 75</v>
      </c>
      <c r="O51" s="11" t="str">
        <f t="shared" si="15"/>
        <v>IoU 75</v>
      </c>
      <c r="Q51" s="11">
        <v>0.44469727956764565</v>
      </c>
      <c r="R51" s="11">
        <v>0.49982759959039325</v>
      </c>
      <c r="S51" s="11">
        <v>0.32152586935551797</v>
      </c>
      <c r="U51" s="11" t="str">
        <f t="shared" si="26"/>
        <v>IoU 50</v>
      </c>
      <c r="V51" s="11" t="str">
        <f t="shared" si="16"/>
        <v>IoU 50</v>
      </c>
      <c r="W51" s="11" t="str">
        <f t="shared" si="17"/>
        <v>IoU 50</v>
      </c>
      <c r="Y51">
        <v>0.62948231827834888</v>
      </c>
      <c r="Z51">
        <v>0.51882059420195015</v>
      </c>
      <c r="AA51">
        <v>0.55947602684831255</v>
      </c>
      <c r="AC51" s="11" t="str">
        <f t="shared" si="27"/>
        <v>IoU 75</v>
      </c>
      <c r="AD51" s="11" t="str">
        <f t="shared" si="18"/>
        <v>IoU 75</v>
      </c>
      <c r="AE51" s="11" t="str">
        <f t="shared" si="19"/>
        <v>IoU 75</v>
      </c>
      <c r="AG51">
        <v>0.40615560453914606</v>
      </c>
      <c r="AH51">
        <v>0.54684644473609345</v>
      </c>
      <c r="AI51">
        <v>7.749750908445624E-2</v>
      </c>
      <c r="AK51" s="11" t="str">
        <f t="shared" si="10"/>
        <v>IoU 50</v>
      </c>
      <c r="AL51" s="11" t="str">
        <f t="shared" si="20"/>
        <v>IoU 75</v>
      </c>
      <c r="AM51" s="11" t="str">
        <f t="shared" si="21"/>
        <v>IoU 25</v>
      </c>
    </row>
    <row r="52" spans="1:39" ht="15" x14ac:dyDescent="0.25">
      <c r="A52" s="11">
        <v>0.79801076192297127</v>
      </c>
      <c r="B52" s="11">
        <v>0.64772170604559287</v>
      </c>
      <c r="C52" s="11">
        <v>0.38405924708316885</v>
      </c>
      <c r="E52" s="11" t="str">
        <f t="shared" si="13"/>
        <v>IoU 100</v>
      </c>
      <c r="F52" s="11" t="str">
        <f t="shared" si="0"/>
        <v>IoU 75</v>
      </c>
      <c r="G52" s="11" t="str">
        <f t="shared" si="1"/>
        <v>IoU 50</v>
      </c>
      <c r="I52" s="11">
        <v>0.76910366340627057</v>
      </c>
      <c r="J52" s="11">
        <v>0.680943024042866</v>
      </c>
      <c r="K52" s="11">
        <v>0.48707916761403341</v>
      </c>
      <c r="M52" s="11" t="str">
        <f t="shared" si="25"/>
        <v>IoU 100</v>
      </c>
      <c r="N52" s="11" t="str">
        <f t="shared" si="14"/>
        <v>IoU 75</v>
      </c>
      <c r="O52" s="11" t="str">
        <f t="shared" si="15"/>
        <v>IoU 50</v>
      </c>
      <c r="Q52" s="11">
        <v>0.85831611203300817</v>
      </c>
      <c r="R52" s="11">
        <v>0.80776532171224336</v>
      </c>
      <c r="S52" s="11">
        <v>0.56350177431066384</v>
      </c>
      <c r="U52" s="11" t="str">
        <f t="shared" si="26"/>
        <v>IoU 100</v>
      </c>
      <c r="V52" s="11" t="str">
        <f t="shared" si="16"/>
        <v>IoU 100</v>
      </c>
      <c r="W52" s="11" t="str">
        <f t="shared" si="17"/>
        <v>IoU 75</v>
      </c>
      <c r="Y52">
        <v>0.90354126775732102</v>
      </c>
      <c r="Z52">
        <v>0.69841783145710301</v>
      </c>
      <c r="AA52">
        <v>0.47269025018511268</v>
      </c>
      <c r="AC52" s="11" t="str">
        <f t="shared" si="27"/>
        <v>IoU 100</v>
      </c>
      <c r="AD52" s="11" t="str">
        <f t="shared" si="18"/>
        <v>IoU 75</v>
      </c>
      <c r="AE52" s="11" t="str">
        <f t="shared" si="19"/>
        <v>IoU 50</v>
      </c>
      <c r="AG52">
        <v>0.84225556765590115</v>
      </c>
      <c r="AH52">
        <v>0.80547945647417207</v>
      </c>
      <c r="AI52">
        <v>0.63565358478023981</v>
      </c>
      <c r="AK52" s="11" t="str">
        <f t="shared" si="10"/>
        <v>IoU 100</v>
      </c>
      <c r="AL52" s="11" t="str">
        <f t="shared" si="20"/>
        <v>IoU 100</v>
      </c>
      <c r="AM52" s="11" t="str">
        <f t="shared" si="21"/>
        <v>IoU 75</v>
      </c>
    </row>
    <row r="53" spans="1:39" ht="15" x14ac:dyDescent="0.25">
      <c r="A53" s="11">
        <v>0.40444530652275668</v>
      </c>
      <c r="B53" s="11">
        <v>0.51658695459229487</v>
      </c>
      <c r="C53" s="11">
        <v>0.4695614925078746</v>
      </c>
      <c r="E53" s="11" t="str">
        <f t="shared" si="13"/>
        <v>IoU 50</v>
      </c>
      <c r="F53" s="11" t="str">
        <f t="shared" si="0"/>
        <v>IoU 75</v>
      </c>
      <c r="G53" s="11" t="str">
        <f t="shared" si="1"/>
        <v>IoU 50</v>
      </c>
      <c r="I53" s="11">
        <v>0.6987866855406395</v>
      </c>
      <c r="J53" s="11">
        <v>0.40783178118145008</v>
      </c>
      <c r="K53" s="11">
        <v>0.42176028839052232</v>
      </c>
      <c r="M53" s="11" t="str">
        <f t="shared" si="25"/>
        <v>IoU 75</v>
      </c>
      <c r="N53" s="11" t="str">
        <f t="shared" si="14"/>
        <v>IoU 50</v>
      </c>
      <c r="O53" s="11" t="str">
        <f t="shared" si="15"/>
        <v>IoU 50</v>
      </c>
      <c r="Q53" s="11">
        <v>0.84320919283385476</v>
      </c>
      <c r="R53" s="11">
        <v>0.7900349889035474</v>
      </c>
      <c r="S53" s="11">
        <v>0.64967400086751281</v>
      </c>
      <c r="U53" s="11" t="str">
        <f t="shared" si="26"/>
        <v>IoU 100</v>
      </c>
      <c r="V53" s="11" t="str">
        <f t="shared" si="16"/>
        <v>IoU 100</v>
      </c>
      <c r="W53" s="11" t="str">
        <f t="shared" si="17"/>
        <v>IoU 75</v>
      </c>
      <c r="Y53">
        <v>0.57741720595713342</v>
      </c>
      <c r="Z53">
        <v>0.69226055832798761</v>
      </c>
      <c r="AA53">
        <v>0.42928756965059051</v>
      </c>
      <c r="AC53" s="11" t="str">
        <f t="shared" si="27"/>
        <v>IoU 75</v>
      </c>
      <c r="AD53" s="11" t="str">
        <f t="shared" si="18"/>
        <v>IoU 75</v>
      </c>
      <c r="AE53" s="11" t="str">
        <f t="shared" si="19"/>
        <v>IoU 50</v>
      </c>
      <c r="AG53">
        <v>0.82139786857784436</v>
      </c>
      <c r="AH53">
        <v>0.78658394472319659</v>
      </c>
      <c r="AI53">
        <v>0.65377319779355436</v>
      </c>
      <c r="AK53" s="11" t="str">
        <f t="shared" si="10"/>
        <v>IoU 100</v>
      </c>
      <c r="AL53" s="11" t="str">
        <f t="shared" si="20"/>
        <v>IoU 100</v>
      </c>
      <c r="AM53" s="11" t="str">
        <f t="shared" si="21"/>
        <v>IoU 75</v>
      </c>
    </row>
    <row r="54" spans="1:39" ht="15" x14ac:dyDescent="0.25">
      <c r="A54" s="11">
        <v>0.71902841987820021</v>
      </c>
      <c r="B54" s="11">
        <v>0.41585755520388445</v>
      </c>
      <c r="C54" s="11">
        <v>0.37205882352941178</v>
      </c>
      <c r="E54" s="11" t="str">
        <f t="shared" si="13"/>
        <v>IoU 75</v>
      </c>
      <c r="F54" s="11" t="str">
        <f t="shared" si="0"/>
        <v>IoU 50</v>
      </c>
      <c r="G54" s="11" t="str">
        <f t="shared" si="1"/>
        <v>IoU 50</v>
      </c>
      <c r="I54" s="11">
        <v>0.58076589275049928</v>
      </c>
      <c r="J54" s="11">
        <v>0.5401270458398223</v>
      </c>
      <c r="K54" s="11">
        <v>0.37349119160311023</v>
      </c>
      <c r="M54" s="11" t="str">
        <f t="shared" si="25"/>
        <v>IoU 75</v>
      </c>
      <c r="N54" s="11" t="str">
        <f t="shared" si="14"/>
        <v>IoU 75</v>
      </c>
      <c r="O54" s="11" t="str">
        <f t="shared" si="15"/>
        <v>IoU 50</v>
      </c>
      <c r="Q54" s="11">
        <v>0.76963764278314428</v>
      </c>
      <c r="R54" s="11">
        <v>0.51455478743672423</v>
      </c>
      <c r="S54" s="11">
        <v>0.38903718898232337</v>
      </c>
      <c r="U54" s="11" t="str">
        <f t="shared" si="26"/>
        <v>IoU 100</v>
      </c>
      <c r="V54" s="11" t="str">
        <f t="shared" si="16"/>
        <v>IoU 75</v>
      </c>
      <c r="W54" s="11" t="str">
        <f t="shared" si="17"/>
        <v>IoU 50</v>
      </c>
      <c r="Y54">
        <v>0.78545616452009104</v>
      </c>
      <c r="Z54">
        <v>0.68185165155965688</v>
      </c>
      <c r="AA54">
        <v>0.58317334839073975</v>
      </c>
      <c r="AC54" s="11" t="str">
        <f t="shared" si="27"/>
        <v>IoU 100</v>
      </c>
      <c r="AD54" s="11" t="str">
        <f t="shared" si="18"/>
        <v>IoU 75</v>
      </c>
      <c r="AE54" s="11" t="str">
        <f t="shared" si="19"/>
        <v>IoU 75</v>
      </c>
      <c r="AG54">
        <v>0.84374913604332202</v>
      </c>
      <c r="AH54">
        <v>0.68962931349786172</v>
      </c>
      <c r="AI54">
        <v>0.43208983358644049</v>
      </c>
      <c r="AK54" s="11" t="str">
        <f t="shared" si="10"/>
        <v>IoU 100</v>
      </c>
      <c r="AL54" s="11" t="str">
        <f t="shared" si="20"/>
        <v>IoU 75</v>
      </c>
      <c r="AM54" s="11" t="str">
        <f t="shared" si="21"/>
        <v>IoU 50</v>
      </c>
    </row>
    <row r="55" spans="1:39" ht="15" x14ac:dyDescent="0.25">
      <c r="A55" s="11">
        <v>0.71352158072086325</v>
      </c>
      <c r="B55" s="11">
        <v>0.43588907014681894</v>
      </c>
      <c r="C55" s="11">
        <v>0.34777847309136423</v>
      </c>
      <c r="E55" s="11" t="str">
        <f t="shared" si="13"/>
        <v>IoU 75</v>
      </c>
      <c r="F55" s="11" t="str">
        <f t="shared" si="0"/>
        <v>IoU 50</v>
      </c>
      <c r="G55" s="11" t="str">
        <f t="shared" si="1"/>
        <v>IoU 50</v>
      </c>
      <c r="I55" s="11">
        <v>0.50827747487956709</v>
      </c>
      <c r="J55" s="11">
        <v>0.5612868479853923</v>
      </c>
      <c r="K55" s="11">
        <v>0.4182035796505067</v>
      </c>
      <c r="M55" s="11" t="str">
        <f t="shared" si="25"/>
        <v>IoU 75</v>
      </c>
      <c r="N55" s="11" t="str">
        <f t="shared" si="14"/>
        <v>IoU 75</v>
      </c>
      <c r="O55" s="11" t="str">
        <f t="shared" si="15"/>
        <v>IoU 50</v>
      </c>
      <c r="Q55" s="11">
        <v>0.79318585462259394</v>
      </c>
      <c r="R55" s="11">
        <v>0.68189108513652519</v>
      </c>
      <c r="S55" s="11">
        <v>0.58867481876127215</v>
      </c>
      <c r="U55" s="11" t="str">
        <f t="shared" si="26"/>
        <v>IoU 100</v>
      </c>
      <c r="V55" s="11" t="str">
        <f t="shared" si="16"/>
        <v>IoU 75</v>
      </c>
      <c r="W55" s="11" t="str">
        <f t="shared" si="17"/>
        <v>IoU 75</v>
      </c>
      <c r="Y55">
        <v>0.11210420914524541</v>
      </c>
      <c r="Z55">
        <v>1.5425956038850556E-2</v>
      </c>
      <c r="AA55">
        <v>0</v>
      </c>
      <c r="AC55" s="11" t="str">
        <f t="shared" si="27"/>
        <v>IoU 25</v>
      </c>
      <c r="AD55" s="11" t="str">
        <f t="shared" si="18"/>
        <v>IoU 25</v>
      </c>
      <c r="AE55" s="11" t="str">
        <f t="shared" si="19"/>
        <v>IoU 25</v>
      </c>
      <c r="AG55">
        <v>0.85299465260181173</v>
      </c>
      <c r="AH55">
        <v>0.58652656075140386</v>
      </c>
      <c r="AI55">
        <v>0.54940416943154169</v>
      </c>
      <c r="AK55" s="11" t="str">
        <f t="shared" si="10"/>
        <v>IoU 100</v>
      </c>
      <c r="AL55" s="11" t="str">
        <f t="shared" si="20"/>
        <v>IoU 75</v>
      </c>
      <c r="AM55" s="11" t="str">
        <f t="shared" si="21"/>
        <v>IoU 75</v>
      </c>
    </row>
    <row r="56" spans="1:39" ht="15" x14ac:dyDescent="0.25">
      <c r="A56" s="11">
        <v>0.75899973896435324</v>
      </c>
      <c r="B56" s="11">
        <v>0.61027991520240166</v>
      </c>
      <c r="C56" s="11">
        <v>0.40286752827140548</v>
      </c>
      <c r="E56" s="11" t="str">
        <f t="shared" si="13"/>
        <v>IoU 100</v>
      </c>
      <c r="F56" s="11" t="str">
        <f t="shared" si="0"/>
        <v>IoU 75</v>
      </c>
      <c r="G56" s="11" t="str">
        <f t="shared" si="1"/>
        <v>IoU 50</v>
      </c>
      <c r="I56" s="11">
        <v>0.78245949085049604</v>
      </c>
      <c r="J56" s="11">
        <v>0.67919742011931383</v>
      </c>
      <c r="K56" s="11">
        <v>0.39227764307470636</v>
      </c>
      <c r="M56" s="11" t="str">
        <f t="shared" si="25"/>
        <v>IoU 100</v>
      </c>
      <c r="N56" s="11" t="str">
        <f t="shared" si="14"/>
        <v>IoU 75</v>
      </c>
      <c r="O56" s="11" t="str">
        <f t="shared" si="15"/>
        <v>IoU 50</v>
      </c>
      <c r="Q56" s="11">
        <v>0.85965398118339809</v>
      </c>
      <c r="R56" s="11">
        <v>0.62877755794262258</v>
      </c>
      <c r="S56" s="11">
        <v>0.6953489118148739</v>
      </c>
      <c r="U56" s="11" t="str">
        <f t="shared" si="26"/>
        <v>IoU 100</v>
      </c>
      <c r="V56" s="11" t="str">
        <f t="shared" si="16"/>
        <v>IoU 75</v>
      </c>
      <c r="W56" s="11" t="str">
        <f t="shared" si="17"/>
        <v>IoU 75</v>
      </c>
      <c r="Y56">
        <v>0.44086402266288954</v>
      </c>
      <c r="Z56">
        <v>0.38513908812328429</v>
      </c>
      <c r="AA56">
        <v>0.34030315333604005</v>
      </c>
      <c r="AC56" s="11" t="str">
        <f t="shared" si="27"/>
        <v>IoU 50</v>
      </c>
      <c r="AD56" s="11" t="str">
        <f t="shared" si="18"/>
        <v>IoU 50</v>
      </c>
      <c r="AE56" s="11" t="str">
        <f t="shared" si="19"/>
        <v>IoU 50</v>
      </c>
      <c r="AG56">
        <v>0.9038683730819228</v>
      </c>
      <c r="AH56">
        <v>0.48603387103937312</v>
      </c>
      <c r="AI56">
        <v>0.54228132720098565</v>
      </c>
      <c r="AK56" s="11" t="str">
        <f t="shared" si="10"/>
        <v>IoU 100</v>
      </c>
      <c r="AL56" s="11" t="str">
        <f t="shared" si="20"/>
        <v>IoU 50</v>
      </c>
      <c r="AM56" s="11" t="str">
        <f t="shared" si="21"/>
        <v>IoU 75</v>
      </c>
    </row>
    <row r="57" spans="1:39" ht="15" x14ac:dyDescent="0.25">
      <c r="A57" s="11">
        <v>0.81254503367861242</v>
      </c>
      <c r="B57" s="11">
        <v>0.7843827710031801</v>
      </c>
      <c r="C57" s="11">
        <v>0.66164372101319446</v>
      </c>
      <c r="E57" s="11" t="str">
        <f t="shared" si="13"/>
        <v>IoU 100</v>
      </c>
      <c r="F57" s="11" t="str">
        <f t="shared" si="0"/>
        <v>IoU 100</v>
      </c>
      <c r="G57" s="11" t="str">
        <f t="shared" si="1"/>
        <v>IoU 75</v>
      </c>
      <c r="I57" s="11">
        <v>0.8257500825179025</v>
      </c>
      <c r="J57" s="11">
        <v>0.74484333620681764</v>
      </c>
      <c r="K57" s="11">
        <v>0.61387255114270722</v>
      </c>
      <c r="M57" s="11" t="str">
        <f t="shared" si="25"/>
        <v>IoU 100</v>
      </c>
      <c r="N57" s="11" t="str">
        <f t="shared" si="14"/>
        <v>IoU 75</v>
      </c>
      <c r="O57" s="11" t="str">
        <f t="shared" si="15"/>
        <v>IoU 75</v>
      </c>
      <c r="Q57" s="11">
        <v>0.823692978156783</v>
      </c>
      <c r="R57" s="11">
        <v>0.75763742579685023</v>
      </c>
      <c r="S57" s="11">
        <v>0.65956038483266255</v>
      </c>
      <c r="U57" s="11" t="str">
        <f t="shared" si="26"/>
        <v>IoU 100</v>
      </c>
      <c r="V57" s="11" t="str">
        <f t="shared" si="16"/>
        <v>IoU 100</v>
      </c>
      <c r="W57" s="11" t="str">
        <f t="shared" si="17"/>
        <v>IoU 75</v>
      </c>
      <c r="Y57">
        <v>0.8742455276607406</v>
      </c>
      <c r="Z57">
        <v>0.60738896689036315</v>
      </c>
      <c r="AA57">
        <v>0.63894616517725622</v>
      </c>
      <c r="AC57" s="11" t="str">
        <f t="shared" si="27"/>
        <v>IoU 100</v>
      </c>
      <c r="AD57" s="11" t="str">
        <f t="shared" si="18"/>
        <v>IoU 75</v>
      </c>
      <c r="AE57" s="11" t="str">
        <f t="shared" si="19"/>
        <v>IoU 75</v>
      </c>
      <c r="AG57">
        <v>0.45455543961777145</v>
      </c>
      <c r="AH57">
        <v>0.18687266436486688</v>
      </c>
      <c r="AI57">
        <v>0.27702962677953058</v>
      </c>
      <c r="AK57" s="11" t="str">
        <f t="shared" si="10"/>
        <v>IoU 50</v>
      </c>
      <c r="AL57" s="11" t="str">
        <f t="shared" si="20"/>
        <v>IoU 25</v>
      </c>
      <c r="AM57" s="11" t="str">
        <f t="shared" si="21"/>
        <v>IoU 50</v>
      </c>
    </row>
    <row r="58" spans="1:39" ht="15" x14ac:dyDescent="0.25">
      <c r="A58" s="11">
        <v>0.43276661514683151</v>
      </c>
      <c r="B58" s="11">
        <v>0.56892620046273645</v>
      </c>
      <c r="C58" s="11">
        <v>0.26300418778928808</v>
      </c>
      <c r="E58" s="11" t="str">
        <f t="shared" si="13"/>
        <v>IoU 50</v>
      </c>
      <c r="F58" s="11" t="str">
        <f t="shared" si="0"/>
        <v>IoU 75</v>
      </c>
      <c r="G58" s="11" t="str">
        <f t="shared" si="1"/>
        <v>IoU 50</v>
      </c>
      <c r="I58" s="11">
        <v>0.46431461949769937</v>
      </c>
      <c r="J58" s="11">
        <v>0.39583638681387323</v>
      </c>
      <c r="K58" s="11">
        <v>0.36382498954464743</v>
      </c>
      <c r="M58" s="11" t="str">
        <f t="shared" si="25"/>
        <v>IoU 50</v>
      </c>
      <c r="N58" s="11" t="str">
        <f t="shared" si="14"/>
        <v>IoU 50</v>
      </c>
      <c r="O58" s="11" t="str">
        <f t="shared" si="15"/>
        <v>IoU 50</v>
      </c>
      <c r="Q58" s="11">
        <v>0.83207772431910043</v>
      </c>
      <c r="R58" s="11">
        <v>0.73696899237181646</v>
      </c>
      <c r="S58" s="11">
        <v>0.6372924087115408</v>
      </c>
      <c r="U58" s="11" t="str">
        <f t="shared" si="26"/>
        <v>IoU 100</v>
      </c>
      <c r="V58" s="11" t="str">
        <f t="shared" si="16"/>
        <v>IoU 75</v>
      </c>
      <c r="W58" s="11" t="str">
        <f t="shared" si="17"/>
        <v>IoU 75</v>
      </c>
      <c r="Y58">
        <v>0.71981124061091184</v>
      </c>
      <c r="Z58">
        <v>0.34470752089136492</v>
      </c>
      <c r="AA58">
        <v>0.29998471905003204</v>
      </c>
      <c r="AC58" s="11" t="str">
        <f t="shared" si="27"/>
        <v>IoU 75</v>
      </c>
      <c r="AD58" s="11" t="str">
        <f t="shared" si="18"/>
        <v>IoU 50</v>
      </c>
      <c r="AE58" s="11" t="str">
        <f t="shared" si="19"/>
        <v>IoU 50</v>
      </c>
      <c r="AG58">
        <v>0.8469347576153935</v>
      </c>
      <c r="AH58">
        <v>0.8016500148989627</v>
      </c>
      <c r="AI58">
        <v>0.43280343970652047</v>
      </c>
      <c r="AK58" s="11" t="str">
        <f t="shared" si="10"/>
        <v>IoU 100</v>
      </c>
      <c r="AL58" s="11" t="str">
        <f t="shared" si="20"/>
        <v>IoU 100</v>
      </c>
      <c r="AM58" s="11" t="str">
        <f t="shared" si="21"/>
        <v>IoU 50</v>
      </c>
    </row>
    <row r="59" spans="1:39" ht="15" x14ac:dyDescent="0.25">
      <c r="A59" s="11">
        <v>0.82825790034719515</v>
      </c>
      <c r="B59" s="11">
        <v>0.71563382597085512</v>
      </c>
      <c r="C59" s="11">
        <v>0.64552172461583246</v>
      </c>
      <c r="E59" s="11" t="str">
        <f t="shared" si="13"/>
        <v>IoU 100</v>
      </c>
      <c r="F59" s="11" t="str">
        <f t="shared" si="0"/>
        <v>IoU 75</v>
      </c>
      <c r="G59" s="11" t="str">
        <f t="shared" si="1"/>
        <v>IoU 75</v>
      </c>
      <c r="I59" s="11">
        <v>0.90512311347516128</v>
      </c>
      <c r="J59" s="11">
        <v>0.71236569377979442</v>
      </c>
      <c r="K59" s="11">
        <v>0.73334281832931025</v>
      </c>
      <c r="M59" s="11" t="str">
        <f t="shared" si="25"/>
        <v>IoU 100</v>
      </c>
      <c r="N59" s="11" t="str">
        <f t="shared" si="14"/>
        <v>IoU 75</v>
      </c>
      <c r="O59" s="11" t="str">
        <f t="shared" si="15"/>
        <v>IoU 75</v>
      </c>
      <c r="Q59" s="11">
        <v>0.54455575668412659</v>
      </c>
      <c r="R59" s="11">
        <v>0.39173081750154665</v>
      </c>
      <c r="S59" s="11">
        <v>0.45557118887501941</v>
      </c>
      <c r="U59" s="11" t="str">
        <f t="shared" si="26"/>
        <v>IoU 75</v>
      </c>
      <c r="V59" s="11" t="str">
        <f t="shared" si="16"/>
        <v>IoU 50</v>
      </c>
      <c r="W59" s="11" t="str">
        <f t="shared" si="17"/>
        <v>IoU 50</v>
      </c>
      <c r="Y59"/>
      <c r="Z59"/>
      <c r="AA59"/>
      <c r="AG59">
        <v>0.40003520878822141</v>
      </c>
      <c r="AH59">
        <v>0.3841289075764962</v>
      </c>
      <c r="AI59">
        <v>0.14628149969268592</v>
      </c>
      <c r="AK59" s="11" t="str">
        <f t="shared" si="10"/>
        <v>IoU 50</v>
      </c>
      <c r="AL59" s="11" t="str">
        <f t="shared" si="20"/>
        <v>IoU 50</v>
      </c>
      <c r="AM59" s="11" t="str">
        <f t="shared" si="21"/>
        <v>IoU 25</v>
      </c>
    </row>
    <row r="60" spans="1:39" ht="15" x14ac:dyDescent="0.25">
      <c r="A60" s="11">
        <v>0.78726652207968817</v>
      </c>
      <c r="B60" s="11">
        <v>0.61391714966519206</v>
      </c>
      <c r="C60" s="11">
        <v>0.686857738619989</v>
      </c>
      <c r="E60" s="11" t="str">
        <f t="shared" si="13"/>
        <v>IoU 100</v>
      </c>
      <c r="F60" s="11" t="str">
        <f t="shared" si="0"/>
        <v>IoU 75</v>
      </c>
      <c r="G60" s="11" t="str">
        <f t="shared" si="1"/>
        <v>IoU 75</v>
      </c>
      <c r="I60" s="11">
        <v>0.56562735152653709</v>
      </c>
      <c r="J60" s="11">
        <v>0.3615728283353683</v>
      </c>
      <c r="K60" s="11">
        <v>0.31938390883269385</v>
      </c>
      <c r="M60" s="11" t="str">
        <f t="shared" si="25"/>
        <v>IoU 75</v>
      </c>
      <c r="N60" s="11" t="str">
        <f t="shared" si="14"/>
        <v>IoU 50</v>
      </c>
      <c r="O60" s="11" t="str">
        <f t="shared" si="15"/>
        <v>IoU 50</v>
      </c>
      <c r="Q60" s="11">
        <v>0.82689740751938312</v>
      </c>
      <c r="R60" s="11">
        <v>0.7008382909680908</v>
      </c>
      <c r="S60" s="11">
        <v>0.59675026969488787</v>
      </c>
      <c r="U60" s="11" t="str">
        <f t="shared" si="26"/>
        <v>IoU 100</v>
      </c>
      <c r="V60" s="11" t="str">
        <f t="shared" si="16"/>
        <v>IoU 75</v>
      </c>
      <c r="W60" s="11" t="str">
        <f t="shared" si="17"/>
        <v>IoU 75</v>
      </c>
      <c r="Y60">
        <v>0.4495042232831436</v>
      </c>
      <c r="Z60">
        <v>0.68146743390643838</v>
      </c>
      <c r="AA60">
        <v>0.39794504390018204</v>
      </c>
      <c r="AC60" s="11" t="str">
        <f>VLOOKUP(Y60,IoU_Thresholds,2,TRUE)</f>
        <v>IoU 50</v>
      </c>
      <c r="AD60" s="11" t="str">
        <f t="shared" si="18"/>
        <v>IoU 75</v>
      </c>
      <c r="AE60" s="11" t="str">
        <f t="shared" si="19"/>
        <v>IoU 50</v>
      </c>
      <c r="AG60">
        <v>0.86864025475617979</v>
      </c>
      <c r="AH60">
        <v>0.60478760298251055</v>
      </c>
      <c r="AI60">
        <v>0.52604316584345256</v>
      </c>
      <c r="AK60" s="11" t="str">
        <f t="shared" si="10"/>
        <v>IoU 100</v>
      </c>
      <c r="AL60" s="11" t="str">
        <f t="shared" si="20"/>
        <v>IoU 75</v>
      </c>
      <c r="AM60" s="11" t="str">
        <f t="shared" si="21"/>
        <v>IoU 75</v>
      </c>
    </row>
    <row r="61" spans="1:39" ht="15" x14ac:dyDescent="0.25">
      <c r="A61" s="11">
        <v>0.58709848266119424</v>
      </c>
      <c r="B61" s="11">
        <v>0.27973925894810786</v>
      </c>
      <c r="C61" s="11">
        <v>0.25799957438688065</v>
      </c>
      <c r="E61" s="11" t="str">
        <f t="shared" si="13"/>
        <v>IoU 75</v>
      </c>
      <c r="F61" s="11" t="str">
        <f t="shared" si="0"/>
        <v>IoU 50</v>
      </c>
      <c r="G61" s="11" t="str">
        <f t="shared" si="1"/>
        <v>IoU 50</v>
      </c>
      <c r="I61" s="11">
        <v>0.79564991546464992</v>
      </c>
      <c r="J61" s="11">
        <v>0.2398932112890923</v>
      </c>
      <c r="K61" s="11">
        <v>0.32982890125747266</v>
      </c>
      <c r="M61" s="11" t="str">
        <f t="shared" si="25"/>
        <v>IoU 100</v>
      </c>
      <c r="N61" s="11" t="str">
        <f t="shared" si="14"/>
        <v>IoU 25</v>
      </c>
      <c r="O61" s="11" t="str">
        <f t="shared" si="15"/>
        <v>IoU 50</v>
      </c>
      <c r="Q61" s="11">
        <v>0.79709297913016164</v>
      </c>
      <c r="R61" s="11">
        <v>0.68716253710864639</v>
      </c>
      <c r="S61" s="11">
        <v>0.67990824439459918</v>
      </c>
      <c r="U61" s="11" t="str">
        <f t="shared" si="26"/>
        <v>IoU 100</v>
      </c>
      <c r="V61" s="11" t="str">
        <f t="shared" si="16"/>
        <v>IoU 75</v>
      </c>
      <c r="W61" s="11" t="str">
        <f t="shared" si="17"/>
        <v>IoU 75</v>
      </c>
      <c r="Y61">
        <v>0.42762548949804202</v>
      </c>
      <c r="Z61">
        <v>0.55910170395707559</v>
      </c>
      <c r="AA61">
        <v>0.46857927553444179</v>
      </c>
      <c r="AC61" s="11" t="str">
        <f>VLOOKUP(Y61,IoU_Thresholds,2,TRUE)</f>
        <v>IoU 50</v>
      </c>
      <c r="AD61" s="11" t="str">
        <f t="shared" si="18"/>
        <v>IoU 75</v>
      </c>
      <c r="AE61" s="11" t="str">
        <f t="shared" si="19"/>
        <v>IoU 50</v>
      </c>
      <c r="AG61">
        <v>0.8684558082979863</v>
      </c>
      <c r="AH61">
        <v>0.5856186760114529</v>
      </c>
      <c r="AI61">
        <v>0.39431484946612877</v>
      </c>
      <c r="AK61" s="11" t="str">
        <f t="shared" si="10"/>
        <v>IoU 100</v>
      </c>
      <c r="AL61" s="11" t="str">
        <f t="shared" si="20"/>
        <v>IoU 75</v>
      </c>
      <c r="AM61" s="11" t="str">
        <f t="shared" si="21"/>
        <v>IoU 50</v>
      </c>
    </row>
    <row r="62" spans="1:39" ht="15" x14ac:dyDescent="0.25">
      <c r="A62" s="11">
        <v>0.86938446830593974</v>
      </c>
      <c r="B62" s="11">
        <v>0.70278848374073155</v>
      </c>
      <c r="C62" s="11">
        <v>0.69321388702854314</v>
      </c>
      <c r="E62" s="11" t="str">
        <f t="shared" si="13"/>
        <v>IoU 100</v>
      </c>
      <c r="F62" s="11" t="str">
        <f t="shared" si="0"/>
        <v>IoU 75</v>
      </c>
      <c r="G62" s="11" t="str">
        <f t="shared" si="1"/>
        <v>IoU 75</v>
      </c>
      <c r="I62" s="11">
        <v>0.5300933534047686</v>
      </c>
      <c r="J62" s="11">
        <v>0.43356715285864295</v>
      </c>
      <c r="K62" s="11">
        <v>0.41835623752834145</v>
      </c>
      <c r="M62" s="11" t="str">
        <f t="shared" si="25"/>
        <v>IoU 75</v>
      </c>
      <c r="N62" s="11" t="str">
        <f t="shared" si="14"/>
        <v>IoU 50</v>
      </c>
      <c r="O62" s="11" t="str">
        <f t="shared" si="15"/>
        <v>IoU 50</v>
      </c>
      <c r="Q62" s="11">
        <v>0.42529127440429815</v>
      </c>
      <c r="R62" s="11">
        <v>0.31155897475632061</v>
      </c>
      <c r="S62" s="11">
        <v>0.38325854638471474</v>
      </c>
      <c r="U62" s="11" t="str">
        <f t="shared" si="26"/>
        <v>IoU 50</v>
      </c>
      <c r="V62" s="11" t="str">
        <f t="shared" si="16"/>
        <v>IoU 50</v>
      </c>
      <c r="W62" s="11" t="str">
        <f t="shared" si="17"/>
        <v>IoU 50</v>
      </c>
      <c r="Y62">
        <v>0.59360277529005956</v>
      </c>
      <c r="Z62">
        <v>0.68427681587029798</v>
      </c>
      <c r="AA62">
        <v>0.31162237840821155</v>
      </c>
      <c r="AC62" s="11" t="str">
        <f>VLOOKUP(Y62,IoU_Thresholds,2,TRUE)</f>
        <v>IoU 75</v>
      </c>
      <c r="AD62" s="11" t="str">
        <f t="shared" si="18"/>
        <v>IoU 75</v>
      </c>
      <c r="AE62" s="11" t="str">
        <f t="shared" si="19"/>
        <v>IoU 50</v>
      </c>
      <c r="AG62">
        <v>0.44115134438416115</v>
      </c>
      <c r="AH62">
        <v>0.57490262528519809</v>
      </c>
      <c r="AI62">
        <v>0.1726819281593151</v>
      </c>
      <c r="AK62" s="11" t="str">
        <f t="shared" si="10"/>
        <v>IoU 50</v>
      </c>
      <c r="AL62" s="11" t="str">
        <f t="shared" si="20"/>
        <v>IoU 75</v>
      </c>
      <c r="AM62" s="11" t="str">
        <f t="shared" si="21"/>
        <v>IoU 25</v>
      </c>
    </row>
    <row r="63" spans="1:39" ht="15" x14ac:dyDescent="0.25">
      <c r="A63" s="11">
        <v>0.72987026264476373</v>
      </c>
      <c r="B63" s="11">
        <v>0.71936898219442325</v>
      </c>
      <c r="C63" s="11">
        <v>0.26910634856449656</v>
      </c>
      <c r="E63" s="11" t="str">
        <f t="shared" si="13"/>
        <v>IoU 75</v>
      </c>
      <c r="F63" s="11" t="str">
        <f t="shared" si="0"/>
        <v>IoU 75</v>
      </c>
      <c r="G63" s="11" t="str">
        <f t="shared" si="1"/>
        <v>IoU 50</v>
      </c>
      <c r="I63" s="11">
        <v>0.73087813868747475</v>
      </c>
      <c r="J63" s="11">
        <v>0.41176336341978215</v>
      </c>
      <c r="K63" s="11">
        <v>0.41569787076702314</v>
      </c>
      <c r="M63" s="11" t="str">
        <f t="shared" si="25"/>
        <v>IoU 75</v>
      </c>
      <c r="N63" s="11" t="str">
        <f t="shared" si="14"/>
        <v>IoU 50</v>
      </c>
      <c r="O63" s="11" t="str">
        <f t="shared" si="15"/>
        <v>IoU 50</v>
      </c>
      <c r="Q63" s="11">
        <v>0.8405194040322459</v>
      </c>
      <c r="R63" s="11">
        <v>0.81812844894736769</v>
      </c>
      <c r="S63" s="11">
        <v>0.54406654842935032</v>
      </c>
      <c r="U63" s="11" t="str">
        <f t="shared" si="26"/>
        <v>IoU 100</v>
      </c>
      <c r="V63" s="11" t="str">
        <f t="shared" si="16"/>
        <v>IoU 100</v>
      </c>
      <c r="W63" s="11" t="str">
        <f t="shared" si="17"/>
        <v>IoU 75</v>
      </c>
      <c r="Y63"/>
      <c r="Z63"/>
      <c r="AA63"/>
      <c r="AG63">
        <v>0.84573022289764976</v>
      </c>
      <c r="AH63">
        <v>0.65218748342876687</v>
      </c>
      <c r="AI63">
        <v>0.47859726295210164</v>
      </c>
      <c r="AK63" s="11" t="str">
        <f t="shared" si="10"/>
        <v>IoU 100</v>
      </c>
      <c r="AL63" s="11" t="str">
        <f t="shared" si="20"/>
        <v>IoU 75</v>
      </c>
      <c r="AM63" s="11" t="str">
        <f t="shared" si="21"/>
        <v>IoU 50</v>
      </c>
    </row>
    <row r="64" spans="1:39" ht="15" x14ac:dyDescent="0.25">
      <c r="A64" s="11">
        <v>0.70966239965735167</v>
      </c>
      <c r="B64" s="11">
        <v>0.37879505329392632</v>
      </c>
      <c r="C64" s="11">
        <v>0.21794610044916293</v>
      </c>
      <c r="E64" s="11" t="str">
        <f t="shared" si="13"/>
        <v>IoU 75</v>
      </c>
      <c r="F64" s="11" t="str">
        <f t="shared" si="0"/>
        <v>IoU 50</v>
      </c>
      <c r="G64" s="11" t="str">
        <f t="shared" si="1"/>
        <v>IoU 25</v>
      </c>
      <c r="I64" s="11">
        <v>0.36588734293373371</v>
      </c>
      <c r="J64" s="11">
        <v>0.46642871177376694</v>
      </c>
      <c r="K64" s="11">
        <v>0.32723206333190324</v>
      </c>
      <c r="M64" s="11" t="str">
        <f t="shared" si="25"/>
        <v>IoU 50</v>
      </c>
      <c r="N64" s="11" t="str">
        <f t="shared" si="14"/>
        <v>IoU 50</v>
      </c>
      <c r="O64" s="11" t="str">
        <f t="shared" si="15"/>
        <v>IoU 50</v>
      </c>
      <c r="Q64" s="11">
        <v>0.85739390693946493</v>
      </c>
      <c r="R64" s="11">
        <v>0.71545091381565462</v>
      </c>
      <c r="S64" s="11">
        <v>0.65711066814232488</v>
      </c>
      <c r="U64" s="11" t="str">
        <f t="shared" si="26"/>
        <v>IoU 100</v>
      </c>
      <c r="V64" s="11" t="str">
        <f t="shared" si="16"/>
        <v>IoU 75</v>
      </c>
      <c r="W64" s="11" t="str">
        <f t="shared" si="17"/>
        <v>IoU 75</v>
      </c>
      <c r="Y64">
        <v>0.87917306437234544</v>
      </c>
      <c r="Z64">
        <v>0.8245538665285399</v>
      </c>
      <c r="AA64">
        <v>0.6145046998564182</v>
      </c>
      <c r="AC64" s="11" t="str">
        <f>VLOOKUP(Y64,IoU_Thresholds,2,TRUE)</f>
        <v>IoU 100</v>
      </c>
      <c r="AD64" s="11" t="str">
        <f t="shared" si="18"/>
        <v>IoU 100</v>
      </c>
      <c r="AE64" s="11" t="str">
        <f t="shared" si="19"/>
        <v>IoU 75</v>
      </c>
      <c r="AG64">
        <v>0.86162497175979103</v>
      </c>
      <c r="AH64">
        <v>0.65457073621432671</v>
      </c>
      <c r="AI64">
        <v>0.46877605543629142</v>
      </c>
      <c r="AK64" s="11" t="str">
        <f t="shared" si="10"/>
        <v>IoU 100</v>
      </c>
      <c r="AL64" s="11" t="str">
        <f t="shared" si="20"/>
        <v>IoU 75</v>
      </c>
      <c r="AM64" s="11" t="str">
        <f t="shared" si="21"/>
        <v>IoU 50</v>
      </c>
    </row>
    <row r="65" spans="1:39" ht="15" x14ac:dyDescent="0.25">
      <c r="A65" s="11">
        <v>0.44999303876889957</v>
      </c>
      <c r="B65" s="11">
        <v>0.45238059823747417</v>
      </c>
      <c r="C65" s="11">
        <v>0.31287494231656671</v>
      </c>
      <c r="E65" s="11" t="str">
        <f t="shared" si="13"/>
        <v>IoU 50</v>
      </c>
      <c r="F65" s="11" t="str">
        <f t="shared" si="0"/>
        <v>IoU 50</v>
      </c>
      <c r="G65" s="11" t="str">
        <f t="shared" si="1"/>
        <v>IoU 50</v>
      </c>
      <c r="I65" s="11">
        <v>0.65129208493395463</v>
      </c>
      <c r="J65" s="11">
        <v>0.37126792404810738</v>
      </c>
      <c r="K65" s="11">
        <v>0.32504780114722753</v>
      </c>
      <c r="M65" s="11" t="str">
        <f t="shared" si="25"/>
        <v>IoU 75</v>
      </c>
      <c r="N65" s="11" t="str">
        <f t="shared" si="14"/>
        <v>IoU 50</v>
      </c>
      <c r="O65" s="11" t="str">
        <f t="shared" si="15"/>
        <v>IoU 50</v>
      </c>
      <c r="Q65" s="11">
        <v>0.85372082790036186</v>
      </c>
      <c r="R65" s="11">
        <v>0.78235050475564272</v>
      </c>
      <c r="S65" s="11">
        <v>0.77457608552115742</v>
      </c>
      <c r="U65" s="11" t="str">
        <f t="shared" si="26"/>
        <v>IoU 100</v>
      </c>
      <c r="V65" s="11" t="str">
        <f t="shared" si="16"/>
        <v>IoU 100</v>
      </c>
      <c r="W65" s="11" t="str">
        <f t="shared" si="17"/>
        <v>IoU 100</v>
      </c>
      <c r="Y65">
        <v>0.82082274564582991</v>
      </c>
      <c r="Z65">
        <v>0.85664171473084139</v>
      </c>
      <c r="AA65">
        <v>0.61102578306827826</v>
      </c>
      <c r="AC65" s="11" t="str">
        <f>VLOOKUP(Y65,IoU_Thresholds,2,TRUE)</f>
        <v>IoU 100</v>
      </c>
      <c r="AD65" s="11" t="str">
        <f t="shared" si="18"/>
        <v>IoU 100</v>
      </c>
      <c r="AE65" s="11" t="str">
        <f t="shared" si="19"/>
        <v>IoU 75</v>
      </c>
      <c r="AG65">
        <v>0.86535869905803597</v>
      </c>
      <c r="AH65">
        <v>0.53273162782390826</v>
      </c>
      <c r="AI65">
        <v>0.41495740968026523</v>
      </c>
      <c r="AK65" s="11" t="str">
        <f t="shared" si="10"/>
        <v>IoU 100</v>
      </c>
      <c r="AL65" s="11" t="str">
        <f t="shared" si="20"/>
        <v>IoU 75</v>
      </c>
      <c r="AM65" s="11" t="str">
        <f t="shared" si="21"/>
        <v>IoU 50</v>
      </c>
    </row>
    <row r="66" spans="1:39" ht="15" x14ac:dyDescent="0.25">
      <c r="A66" s="11">
        <v>0.80503978722833347</v>
      </c>
      <c r="B66" s="11">
        <v>0.73564573402960898</v>
      </c>
      <c r="C66" s="11">
        <v>0.66866864826096806</v>
      </c>
      <c r="E66" s="11" t="str">
        <f t="shared" si="13"/>
        <v>IoU 100</v>
      </c>
      <c r="F66" s="11" t="str">
        <f t="shared" si="0"/>
        <v>IoU 75</v>
      </c>
      <c r="G66" s="11" t="str">
        <f t="shared" si="1"/>
        <v>IoU 75</v>
      </c>
      <c r="I66" s="11">
        <v>0.81869289305937087</v>
      </c>
      <c r="J66" s="11">
        <v>0.71881315223390196</v>
      </c>
      <c r="K66" s="11">
        <v>0.70125676076905608</v>
      </c>
      <c r="M66" s="11" t="str">
        <f t="shared" si="25"/>
        <v>IoU 100</v>
      </c>
      <c r="N66" s="11" t="str">
        <f t="shared" si="14"/>
        <v>IoU 75</v>
      </c>
      <c r="O66" s="11" t="str">
        <f t="shared" si="15"/>
        <v>IoU 75</v>
      </c>
      <c r="Q66" s="11">
        <v>0.41057909202456816</v>
      </c>
      <c r="R66" s="11">
        <v>0.27548392181993175</v>
      </c>
      <c r="S66" s="11">
        <v>0.33754068511110097</v>
      </c>
      <c r="U66" s="11" t="str">
        <f t="shared" si="26"/>
        <v>IoU 50</v>
      </c>
      <c r="V66" s="11" t="str">
        <f t="shared" si="16"/>
        <v>IoU 50</v>
      </c>
      <c r="W66" s="11" t="str">
        <f t="shared" si="17"/>
        <v>IoU 50</v>
      </c>
      <c r="Y66">
        <v>0.88493998803979856</v>
      </c>
      <c r="Z66">
        <v>0.81254911234222726</v>
      </c>
      <c r="AA66">
        <v>0.21689293962001044</v>
      </c>
      <c r="AC66" s="11" t="str">
        <f>VLOOKUP(Y66,IoU_Thresholds,2,TRUE)</f>
        <v>IoU 100</v>
      </c>
      <c r="AD66" s="11" t="str">
        <f t="shared" si="18"/>
        <v>IoU 100</v>
      </c>
      <c r="AE66" s="11" t="str">
        <f t="shared" si="19"/>
        <v>IoU 25</v>
      </c>
      <c r="AG66">
        <v>0.4674396604157342</v>
      </c>
      <c r="AH66">
        <v>0.3982532751091703</v>
      </c>
      <c r="AI66">
        <v>0.18331864318078528</v>
      </c>
      <c r="AK66" s="11" t="str">
        <f t="shared" si="10"/>
        <v>IoU 50</v>
      </c>
      <c r="AL66" s="11" t="str">
        <f t="shared" si="20"/>
        <v>IoU 50</v>
      </c>
      <c r="AM66" s="11" t="str">
        <f t="shared" si="21"/>
        <v>IoU 25</v>
      </c>
    </row>
    <row r="67" spans="1:39" ht="15" x14ac:dyDescent="0.25">
      <c r="A67" s="11">
        <v>0.87009119663527323</v>
      </c>
      <c r="B67" s="11">
        <v>0.72344883968073037</v>
      </c>
      <c r="C67" s="11">
        <v>0.44954195917752948</v>
      </c>
      <c r="E67" s="11" t="str">
        <f t="shared" si="13"/>
        <v>IoU 100</v>
      </c>
      <c r="F67" s="11" t="str">
        <f t="shared" si="0"/>
        <v>IoU 75</v>
      </c>
      <c r="G67" s="11" t="str">
        <f t="shared" si="1"/>
        <v>IoU 50</v>
      </c>
      <c r="I67" s="11">
        <v>0.65074351412587539</v>
      </c>
      <c r="J67" s="11">
        <v>0.39450266956693691</v>
      </c>
      <c r="K67" s="11">
        <v>0.4030579346946967</v>
      </c>
      <c r="M67" s="11" t="str">
        <f t="shared" si="25"/>
        <v>IoU 75</v>
      </c>
      <c r="N67" s="11" t="str">
        <f t="shared" si="14"/>
        <v>IoU 50</v>
      </c>
      <c r="O67" s="11" t="str">
        <f t="shared" si="15"/>
        <v>IoU 50</v>
      </c>
      <c r="Q67" s="11">
        <v>0.79694923267425322</v>
      </c>
      <c r="R67" s="11">
        <v>0.71024499600895741</v>
      </c>
      <c r="S67" s="11">
        <v>0.50049315149982898</v>
      </c>
      <c r="U67" s="11" t="str">
        <f t="shared" si="26"/>
        <v>IoU 100</v>
      </c>
      <c r="V67" s="11" t="str">
        <f t="shared" si="16"/>
        <v>IoU 75</v>
      </c>
      <c r="W67" s="11" t="str">
        <f t="shared" si="17"/>
        <v>IoU 75</v>
      </c>
      <c r="Y67">
        <v>0.81510990666246963</v>
      </c>
      <c r="Z67">
        <v>0.8473774831275831</v>
      </c>
      <c r="AA67">
        <v>0.63630532377482663</v>
      </c>
      <c r="AC67" s="11" t="str">
        <f>VLOOKUP(Y67,IoU_Thresholds,2,TRUE)</f>
        <v>IoU 100</v>
      </c>
      <c r="AD67" s="11" t="str">
        <f t="shared" si="18"/>
        <v>IoU 100</v>
      </c>
      <c r="AE67" s="11" t="str">
        <f t="shared" si="19"/>
        <v>IoU 75</v>
      </c>
      <c r="AG67">
        <v>0.91235734420246661</v>
      </c>
      <c r="AH67">
        <v>0.5622027733166608</v>
      </c>
      <c r="AI67">
        <v>0.4757989459685697</v>
      </c>
      <c r="AK67" s="11" t="str">
        <f t="shared" si="10"/>
        <v>IoU 100</v>
      </c>
      <c r="AL67" s="11" t="str">
        <f t="shared" si="20"/>
        <v>IoU 75</v>
      </c>
      <c r="AM67" s="11" t="str">
        <f t="shared" si="21"/>
        <v>IoU 50</v>
      </c>
    </row>
    <row r="68" spans="1:39" ht="15" x14ac:dyDescent="0.25">
      <c r="A68" s="11">
        <v>0.76165569068818728</v>
      </c>
      <c r="B68" s="11">
        <v>0.3134173008412941</v>
      </c>
      <c r="C68" s="11">
        <v>0.30731991771721701</v>
      </c>
      <c r="E68" s="11" t="str">
        <f t="shared" si="13"/>
        <v>IoU 100</v>
      </c>
      <c r="F68" s="11" t="str">
        <f t="shared" si="0"/>
        <v>IoU 50</v>
      </c>
      <c r="G68" s="11" t="str">
        <f t="shared" si="1"/>
        <v>IoU 50</v>
      </c>
      <c r="I68" s="11">
        <v>0.76252636207743474</v>
      </c>
      <c r="J68" s="11">
        <v>0.33268482490272372</v>
      </c>
      <c r="K68" s="11">
        <v>0.23147297990212123</v>
      </c>
      <c r="M68" s="11" t="str">
        <f t="shared" si="25"/>
        <v>IoU 100</v>
      </c>
      <c r="N68" s="11" t="str">
        <f t="shared" si="14"/>
        <v>IoU 50</v>
      </c>
      <c r="O68" s="11" t="str">
        <f t="shared" si="15"/>
        <v>IoU 25</v>
      </c>
      <c r="Q68" s="11">
        <v>0.83904099152925382</v>
      </c>
      <c r="R68" s="11">
        <v>0.73779406517122526</v>
      </c>
      <c r="S68" s="11">
        <v>0.67561617434718202</v>
      </c>
      <c r="U68" s="11" t="str">
        <f t="shared" si="26"/>
        <v>IoU 100</v>
      </c>
      <c r="V68" s="11" t="str">
        <f t="shared" si="16"/>
        <v>IoU 75</v>
      </c>
      <c r="W68" s="11" t="str">
        <f t="shared" si="17"/>
        <v>IoU 75</v>
      </c>
      <c r="Y68"/>
      <c r="Z68"/>
      <c r="AA68"/>
      <c r="AG68">
        <v>0.83478295767239619</v>
      </c>
      <c r="AH68">
        <v>0.63716077356746781</v>
      </c>
      <c r="AI68">
        <v>0.38785341534832374</v>
      </c>
      <c r="AK68" s="11" t="str">
        <f t="shared" si="10"/>
        <v>IoU 100</v>
      </c>
      <c r="AL68" s="11" t="str">
        <f t="shared" si="20"/>
        <v>IoU 75</v>
      </c>
      <c r="AM68" s="11" t="str">
        <f t="shared" si="21"/>
        <v>IoU 50</v>
      </c>
    </row>
    <row r="69" spans="1:39" ht="15" x14ac:dyDescent="0.25">
      <c r="A69" s="11">
        <v>0.40898001346328205</v>
      </c>
      <c r="B69" s="11">
        <v>0.53657323727988449</v>
      </c>
      <c r="C69" s="11">
        <v>0.49374868623079038</v>
      </c>
      <c r="E69" s="11" t="str">
        <f t="shared" ref="E69:E132" si="28">VLOOKUP(A69,IoU_Thresholds,2,TRUE)</f>
        <v>IoU 50</v>
      </c>
      <c r="F69" s="11" t="str">
        <f t="shared" ref="F69:F132" si="29">VLOOKUP(B69,IoU_Thresholds,2,TRUE)</f>
        <v>IoU 75</v>
      </c>
      <c r="G69" s="11" t="str">
        <f t="shared" ref="G69:G132" si="30">VLOOKUP(C69,IoU_Thresholds,2,TRUE)</f>
        <v>IoU 50</v>
      </c>
      <c r="I69" s="11">
        <v>0.50347517857322055</v>
      </c>
      <c r="J69" s="11">
        <v>0.34702382853953162</v>
      </c>
      <c r="K69" s="11">
        <v>0.48624725719568018</v>
      </c>
      <c r="M69" s="11" t="str">
        <f t="shared" si="25"/>
        <v>IoU 75</v>
      </c>
      <c r="N69" s="11" t="str">
        <f t="shared" si="14"/>
        <v>IoU 50</v>
      </c>
      <c r="O69" s="11" t="str">
        <f t="shared" si="15"/>
        <v>IoU 50</v>
      </c>
      <c r="Q69" s="11">
        <v>0.89248056941575715</v>
      </c>
      <c r="R69" s="11">
        <v>0.6980633209181335</v>
      </c>
      <c r="S69" s="11">
        <v>0.59534009421370881</v>
      </c>
      <c r="U69" s="11" t="str">
        <f t="shared" si="26"/>
        <v>IoU 100</v>
      </c>
      <c r="V69" s="11" t="str">
        <f t="shared" si="16"/>
        <v>IoU 75</v>
      </c>
      <c r="W69" s="11" t="str">
        <f t="shared" si="17"/>
        <v>IoU 75</v>
      </c>
      <c r="Y69">
        <v>0.39674634794156705</v>
      </c>
      <c r="Z69">
        <v>0.49370338059096996</v>
      </c>
      <c r="AA69">
        <v>0.32567850050286462</v>
      </c>
      <c r="AC69" s="11" t="str">
        <f t="shared" ref="AC69:AC78" si="31">VLOOKUP(Y69,IoU_Thresholds,2,TRUE)</f>
        <v>IoU 50</v>
      </c>
      <c r="AD69" s="11" t="str">
        <f t="shared" si="18"/>
        <v>IoU 50</v>
      </c>
      <c r="AE69" s="11" t="str">
        <f t="shared" si="19"/>
        <v>IoU 50</v>
      </c>
      <c r="AG69">
        <v>0.90640153877245999</v>
      </c>
      <c r="AH69">
        <v>0.66852826895106288</v>
      </c>
      <c r="AI69">
        <v>0.57690232205009595</v>
      </c>
      <c r="AK69" s="11" t="str">
        <f t="shared" ref="AK69:AK132" si="32">VLOOKUP(AG69,IoU_Thresholds,2,TRUE)</f>
        <v>IoU 100</v>
      </c>
      <c r="AL69" s="11" t="str">
        <f t="shared" si="20"/>
        <v>IoU 75</v>
      </c>
      <c r="AM69" s="11" t="str">
        <f t="shared" si="21"/>
        <v>IoU 75</v>
      </c>
    </row>
    <row r="70" spans="1:39" ht="15" x14ac:dyDescent="0.25">
      <c r="A70" s="11">
        <v>0.85933577633979741</v>
      </c>
      <c r="B70" s="11">
        <v>0.73111514274419376</v>
      </c>
      <c r="C70" s="11">
        <v>0.61819751650634092</v>
      </c>
      <c r="E70" s="11" t="str">
        <f t="shared" si="28"/>
        <v>IoU 100</v>
      </c>
      <c r="F70" s="11" t="str">
        <f t="shared" si="29"/>
        <v>IoU 75</v>
      </c>
      <c r="G70" s="11" t="str">
        <f t="shared" si="30"/>
        <v>IoU 75</v>
      </c>
      <c r="I70" s="11">
        <v>0.57352440012049322</v>
      </c>
      <c r="J70" s="11">
        <v>0.44833039997124324</v>
      </c>
      <c r="K70" s="11">
        <v>0.29099679144971796</v>
      </c>
      <c r="M70" s="11" t="str">
        <f t="shared" si="25"/>
        <v>IoU 75</v>
      </c>
      <c r="N70" s="11" t="str">
        <f t="shared" ref="N70:N133" si="33">VLOOKUP(J70,IoU_Thresholds,2,TRUE)</f>
        <v>IoU 50</v>
      </c>
      <c r="O70" s="11" t="str">
        <f t="shared" ref="O70:O133" si="34">VLOOKUP(K70,IoU_Thresholds,2,TRUE)</f>
        <v>IoU 50</v>
      </c>
      <c r="Q70" s="11">
        <v>0.43672139832722512</v>
      </c>
      <c r="R70" s="11">
        <v>0.30649574780803468</v>
      </c>
      <c r="S70" s="11">
        <v>0.41669710946466443</v>
      </c>
      <c r="U70" s="11" t="str">
        <f t="shared" si="26"/>
        <v>IoU 50</v>
      </c>
      <c r="V70" s="11" t="str">
        <f t="shared" ref="V70:V133" si="35">VLOOKUP(R70,IoU_Thresholds,2,TRUE)</f>
        <v>IoU 50</v>
      </c>
      <c r="W70" s="11" t="str">
        <f t="shared" ref="W70:W133" si="36">VLOOKUP(S70,IoU_Thresholds,2,TRUE)</f>
        <v>IoU 50</v>
      </c>
      <c r="Y70">
        <v>0.78536907225368691</v>
      </c>
      <c r="Z70">
        <v>0.52067515097406747</v>
      </c>
      <c r="AA70">
        <v>0.31717361630364665</v>
      </c>
      <c r="AC70" s="11" t="str">
        <f t="shared" si="31"/>
        <v>IoU 100</v>
      </c>
      <c r="AD70" s="11" t="str">
        <f t="shared" ref="AD70:AD133" si="37">VLOOKUP(Z70,IoU_Thresholds,2,TRUE)</f>
        <v>IoU 75</v>
      </c>
      <c r="AE70" s="11" t="str">
        <f t="shared" ref="AE70:AE133" si="38">VLOOKUP(AA70,IoU_Thresholds,2,TRUE)</f>
        <v>IoU 50</v>
      </c>
      <c r="AG70">
        <v>0.51224800505610035</v>
      </c>
      <c r="AH70">
        <v>0.39374999999999999</v>
      </c>
      <c r="AI70">
        <v>0.23452117843714676</v>
      </c>
      <c r="AK70" s="11" t="str">
        <f t="shared" si="32"/>
        <v>IoU 75</v>
      </c>
      <c r="AL70" s="11" t="str">
        <f t="shared" ref="AL70:AL133" si="39">VLOOKUP(AH70,IoU_Thresholds,2,TRUE)</f>
        <v>IoU 50</v>
      </c>
      <c r="AM70" s="11" t="str">
        <f t="shared" ref="AM70:AM133" si="40">VLOOKUP(AI70,IoU_Thresholds,2,TRUE)</f>
        <v>IoU 25</v>
      </c>
    </row>
    <row r="71" spans="1:39" ht="15" x14ac:dyDescent="0.25">
      <c r="A71" s="11">
        <v>0.85211642710970015</v>
      </c>
      <c r="B71" s="11">
        <v>0.63999604054727066</v>
      </c>
      <c r="C71" s="11">
        <v>0.61587598780999775</v>
      </c>
      <c r="E71" s="11" t="str">
        <f t="shared" si="28"/>
        <v>IoU 100</v>
      </c>
      <c r="F71" s="11" t="str">
        <f t="shared" si="29"/>
        <v>IoU 75</v>
      </c>
      <c r="G71" s="11" t="str">
        <f t="shared" si="30"/>
        <v>IoU 75</v>
      </c>
      <c r="I71" s="11">
        <v>0.81554236044150041</v>
      </c>
      <c r="J71" s="11">
        <v>0.39678049095415369</v>
      </c>
      <c r="K71" s="11">
        <v>0.28541972651774461</v>
      </c>
      <c r="M71" s="11" t="str">
        <f t="shared" si="25"/>
        <v>IoU 100</v>
      </c>
      <c r="N71" s="11" t="str">
        <f t="shared" si="33"/>
        <v>IoU 50</v>
      </c>
      <c r="O71" s="11" t="str">
        <f t="shared" si="34"/>
        <v>IoU 50</v>
      </c>
      <c r="Q71" s="11">
        <v>0.87229776325257857</v>
      </c>
      <c r="R71" s="11">
        <v>0.78850718132004216</v>
      </c>
      <c r="S71" s="11">
        <v>0.66440839672506358</v>
      </c>
      <c r="U71" s="11" t="str">
        <f t="shared" si="26"/>
        <v>IoU 100</v>
      </c>
      <c r="V71" s="11" t="str">
        <f t="shared" si="35"/>
        <v>IoU 100</v>
      </c>
      <c r="W71" s="11" t="str">
        <f t="shared" si="36"/>
        <v>IoU 75</v>
      </c>
      <c r="Y71">
        <v>0.79143577670391729</v>
      </c>
      <c r="Z71">
        <v>0.29722921914357681</v>
      </c>
      <c r="AA71">
        <v>0.228933733296973</v>
      </c>
      <c r="AC71" s="11" t="str">
        <f t="shared" si="31"/>
        <v>IoU 100</v>
      </c>
      <c r="AD71" s="11" t="str">
        <f t="shared" si="37"/>
        <v>IoU 50</v>
      </c>
      <c r="AE71" s="11" t="str">
        <f t="shared" si="38"/>
        <v>IoU 25</v>
      </c>
      <c r="AG71">
        <v>0.79906621067889116</v>
      </c>
      <c r="AH71">
        <v>0.56461013769238633</v>
      </c>
      <c r="AI71">
        <v>0.40472263788411222</v>
      </c>
      <c r="AK71" s="11" t="str">
        <f t="shared" si="32"/>
        <v>IoU 100</v>
      </c>
      <c r="AL71" s="11" t="str">
        <f t="shared" si="39"/>
        <v>IoU 75</v>
      </c>
      <c r="AM71" s="11" t="str">
        <f t="shared" si="40"/>
        <v>IoU 50</v>
      </c>
    </row>
    <row r="72" spans="1:39" ht="15" x14ac:dyDescent="0.25">
      <c r="A72" s="11">
        <v>0.87781902682317403</v>
      </c>
      <c r="B72" s="11">
        <v>0.80126689719225741</v>
      </c>
      <c r="C72" s="11">
        <v>0.61914563352060203</v>
      </c>
      <c r="E72" s="11" t="str">
        <f t="shared" si="28"/>
        <v>IoU 100</v>
      </c>
      <c r="F72" s="11" t="str">
        <f t="shared" si="29"/>
        <v>IoU 100</v>
      </c>
      <c r="G72" s="11" t="str">
        <f t="shared" si="30"/>
        <v>IoU 75</v>
      </c>
      <c r="I72" s="11">
        <v>0.72634137005442012</v>
      </c>
      <c r="J72" s="11">
        <v>0.56341378890973104</v>
      </c>
      <c r="K72" s="11">
        <v>0.65283088127617495</v>
      </c>
      <c r="M72" s="11" t="str">
        <f t="shared" si="25"/>
        <v>IoU 75</v>
      </c>
      <c r="N72" s="11" t="str">
        <f t="shared" si="33"/>
        <v>IoU 75</v>
      </c>
      <c r="O72" s="11" t="str">
        <f t="shared" si="34"/>
        <v>IoU 75</v>
      </c>
      <c r="Q72" s="11">
        <v>0.81989898750896972</v>
      </c>
      <c r="R72" s="11">
        <v>0.72014183211514982</v>
      </c>
      <c r="S72" s="11">
        <v>0.61012229788232841</v>
      </c>
      <c r="U72" s="11" t="str">
        <f t="shared" si="26"/>
        <v>IoU 100</v>
      </c>
      <c r="V72" s="11" t="str">
        <f t="shared" si="35"/>
        <v>IoU 75</v>
      </c>
      <c r="W72" s="11" t="str">
        <f t="shared" si="36"/>
        <v>IoU 75</v>
      </c>
      <c r="Y72">
        <v>0.48403072436044003</v>
      </c>
      <c r="Z72">
        <v>0.50226449382010818</v>
      </c>
      <c r="AA72">
        <v>0.43420401089378557</v>
      </c>
      <c r="AC72" s="11" t="str">
        <f t="shared" si="31"/>
        <v>IoU 50</v>
      </c>
      <c r="AD72" s="11" t="str">
        <f t="shared" si="37"/>
        <v>IoU 75</v>
      </c>
      <c r="AE72" s="11" t="str">
        <f t="shared" si="38"/>
        <v>IoU 50</v>
      </c>
      <c r="AG72">
        <v>0.88002473300932949</v>
      </c>
      <c r="AH72">
        <v>0.48932272012518196</v>
      </c>
      <c r="AI72">
        <v>0.4631589249912943</v>
      </c>
      <c r="AK72" s="11" t="str">
        <f t="shared" si="32"/>
        <v>IoU 100</v>
      </c>
      <c r="AL72" s="11" t="str">
        <f t="shared" si="39"/>
        <v>IoU 50</v>
      </c>
      <c r="AM72" s="11" t="str">
        <f t="shared" si="40"/>
        <v>IoU 50</v>
      </c>
    </row>
    <row r="73" spans="1:39" ht="15" x14ac:dyDescent="0.25">
      <c r="A73" s="11">
        <v>0.5413187318544086</v>
      </c>
      <c r="B73" s="11">
        <v>0.35269235452951164</v>
      </c>
      <c r="C73" s="11">
        <v>0.21741587794633446</v>
      </c>
      <c r="E73" s="11" t="str">
        <f t="shared" si="28"/>
        <v>IoU 75</v>
      </c>
      <c r="F73" s="11" t="str">
        <f t="shared" si="29"/>
        <v>IoU 50</v>
      </c>
      <c r="G73" s="11" t="str">
        <f t="shared" si="30"/>
        <v>IoU 25</v>
      </c>
      <c r="I73" s="11">
        <v>0.70663993730677344</v>
      </c>
      <c r="J73" s="11">
        <v>0.29322001158972377</v>
      </c>
      <c r="K73" s="11">
        <v>0.30361731567503458</v>
      </c>
      <c r="M73" s="11" t="str">
        <f t="shared" si="25"/>
        <v>IoU 75</v>
      </c>
      <c r="N73" s="11" t="str">
        <f t="shared" si="33"/>
        <v>IoU 50</v>
      </c>
      <c r="O73" s="11" t="str">
        <f t="shared" si="34"/>
        <v>IoU 50</v>
      </c>
      <c r="Q73" s="11">
        <v>0.88460880972659939</v>
      </c>
      <c r="R73" s="11">
        <v>0.54405355558264146</v>
      </c>
      <c r="S73" s="11">
        <v>0.49321809394192634</v>
      </c>
      <c r="U73" s="11" t="str">
        <f t="shared" si="26"/>
        <v>IoU 100</v>
      </c>
      <c r="V73" s="11" t="str">
        <f t="shared" si="35"/>
        <v>IoU 75</v>
      </c>
      <c r="W73" s="11" t="str">
        <f t="shared" si="36"/>
        <v>IoU 50</v>
      </c>
      <c r="Y73">
        <v>0.48068433514248904</v>
      </c>
      <c r="Z73">
        <v>0.81660578290391395</v>
      </c>
      <c r="AA73">
        <v>0.33292106964085311</v>
      </c>
      <c r="AC73" s="11" t="str">
        <f t="shared" si="31"/>
        <v>IoU 50</v>
      </c>
      <c r="AD73" s="11" t="str">
        <f t="shared" si="37"/>
        <v>IoU 100</v>
      </c>
      <c r="AE73" s="11" t="str">
        <f t="shared" si="38"/>
        <v>IoU 50</v>
      </c>
      <c r="AG73">
        <v>0.82977170065634254</v>
      </c>
      <c r="AH73">
        <v>0.49269169117142092</v>
      </c>
      <c r="AI73">
        <v>0.63033224408493804</v>
      </c>
      <c r="AK73" s="11" t="str">
        <f t="shared" si="32"/>
        <v>IoU 100</v>
      </c>
      <c r="AL73" s="11" t="str">
        <f t="shared" si="39"/>
        <v>IoU 50</v>
      </c>
      <c r="AM73" s="11" t="str">
        <f t="shared" si="40"/>
        <v>IoU 75</v>
      </c>
    </row>
    <row r="74" spans="1:39" ht="15" x14ac:dyDescent="0.25">
      <c r="A74" s="11">
        <v>0.82686277597078317</v>
      </c>
      <c r="B74" s="11">
        <v>0.73739726708959985</v>
      </c>
      <c r="C74" s="11">
        <v>0.69583930315200282</v>
      </c>
      <c r="E74" s="11" t="str">
        <f t="shared" si="28"/>
        <v>IoU 100</v>
      </c>
      <c r="F74" s="11" t="str">
        <f t="shared" si="29"/>
        <v>IoU 75</v>
      </c>
      <c r="G74" s="11" t="str">
        <f t="shared" si="30"/>
        <v>IoU 75</v>
      </c>
      <c r="I74" s="11">
        <v>0.40320006384167267</v>
      </c>
      <c r="J74" s="11">
        <v>0.30889264899417185</v>
      </c>
      <c r="K74" s="11">
        <v>0.35022681363901237</v>
      </c>
      <c r="M74" s="11" t="str">
        <f t="shared" ref="M74:M105" si="41">VLOOKUP(I74,IoU_Thresholds,2,TRUE)</f>
        <v>IoU 50</v>
      </c>
      <c r="N74" s="11" t="str">
        <f t="shared" si="33"/>
        <v>IoU 50</v>
      </c>
      <c r="O74" s="11" t="str">
        <f t="shared" si="34"/>
        <v>IoU 50</v>
      </c>
      <c r="Q74" s="11">
        <v>0.44753773854500484</v>
      </c>
      <c r="R74" s="11">
        <v>0.35407255590661441</v>
      </c>
      <c r="S74" s="11">
        <v>0.47947918673577167</v>
      </c>
      <c r="U74" s="11" t="str">
        <f t="shared" si="26"/>
        <v>IoU 50</v>
      </c>
      <c r="V74" s="11" t="str">
        <f t="shared" si="35"/>
        <v>IoU 50</v>
      </c>
      <c r="W74" s="11" t="str">
        <f t="shared" si="36"/>
        <v>IoU 50</v>
      </c>
      <c r="Y74">
        <v>0.85548321408907324</v>
      </c>
      <c r="Z74">
        <v>0.83442812567841884</v>
      </c>
      <c r="AA74">
        <v>0.64273563183439175</v>
      </c>
      <c r="AC74" s="11" t="str">
        <f t="shared" si="31"/>
        <v>IoU 100</v>
      </c>
      <c r="AD74" s="11" t="str">
        <f t="shared" si="37"/>
        <v>IoU 100</v>
      </c>
      <c r="AE74" s="11" t="str">
        <f t="shared" si="38"/>
        <v>IoU 75</v>
      </c>
      <c r="AG74">
        <v>0.50411548898085001</v>
      </c>
      <c r="AH74">
        <v>0.36770674833825467</v>
      </c>
      <c r="AI74">
        <v>0.19510582010582012</v>
      </c>
      <c r="AK74" s="11" t="str">
        <f t="shared" si="32"/>
        <v>IoU 75</v>
      </c>
      <c r="AL74" s="11" t="str">
        <f t="shared" si="39"/>
        <v>IoU 50</v>
      </c>
      <c r="AM74" s="11" t="str">
        <f t="shared" si="40"/>
        <v>IoU 25</v>
      </c>
    </row>
    <row r="75" spans="1:39" ht="15" x14ac:dyDescent="0.25">
      <c r="A75" s="11">
        <v>0.44578429990839263</v>
      </c>
      <c r="B75" s="11">
        <v>0.51329629231164786</v>
      </c>
      <c r="C75" s="11">
        <v>0.31453080322329086</v>
      </c>
      <c r="E75" s="11" t="str">
        <f t="shared" si="28"/>
        <v>IoU 50</v>
      </c>
      <c r="F75" s="11" t="str">
        <f t="shared" si="29"/>
        <v>IoU 75</v>
      </c>
      <c r="G75" s="11" t="str">
        <f t="shared" si="30"/>
        <v>IoU 50</v>
      </c>
      <c r="I75" s="11">
        <v>0.75921435419206684</v>
      </c>
      <c r="J75" s="11">
        <v>0.72688704388380554</v>
      </c>
      <c r="K75" s="11">
        <v>0.3318961092290319</v>
      </c>
      <c r="M75" s="11" t="str">
        <f t="shared" si="41"/>
        <v>IoU 100</v>
      </c>
      <c r="N75" s="11" t="str">
        <f t="shared" si="33"/>
        <v>IoU 75</v>
      </c>
      <c r="O75" s="11" t="str">
        <f t="shared" si="34"/>
        <v>IoU 50</v>
      </c>
      <c r="Q75" s="11">
        <v>0.90901728195238563</v>
      </c>
      <c r="R75" s="11">
        <v>0.64559491499933519</v>
      </c>
      <c r="S75" s="11">
        <v>0.57680064532398689</v>
      </c>
      <c r="U75" s="11" t="str">
        <f t="shared" si="26"/>
        <v>IoU 100</v>
      </c>
      <c r="V75" s="11" t="str">
        <f t="shared" si="35"/>
        <v>IoU 75</v>
      </c>
      <c r="W75" s="11" t="str">
        <f t="shared" si="36"/>
        <v>IoU 75</v>
      </c>
      <c r="Y75">
        <v>0.60590068023232257</v>
      </c>
      <c r="Z75">
        <v>0.31262784672030547</v>
      </c>
      <c r="AA75">
        <v>0.27950210466066705</v>
      </c>
      <c r="AC75" s="11" t="str">
        <f t="shared" si="31"/>
        <v>IoU 75</v>
      </c>
      <c r="AD75" s="11" t="str">
        <f t="shared" si="37"/>
        <v>IoU 50</v>
      </c>
      <c r="AE75" s="11" t="str">
        <f t="shared" si="38"/>
        <v>IoU 50</v>
      </c>
      <c r="AG75">
        <v>0.86833529027131173</v>
      </c>
      <c r="AH75">
        <v>0.77496942734249807</v>
      </c>
      <c r="AI75">
        <v>0.45319404689512632</v>
      </c>
      <c r="AK75" s="11" t="str">
        <f t="shared" si="32"/>
        <v>IoU 100</v>
      </c>
      <c r="AL75" s="11" t="str">
        <f t="shared" si="39"/>
        <v>IoU 100</v>
      </c>
      <c r="AM75" s="11" t="str">
        <f t="shared" si="40"/>
        <v>IoU 50</v>
      </c>
    </row>
    <row r="76" spans="1:39" ht="15" x14ac:dyDescent="0.25">
      <c r="A76" s="11">
        <v>0.89808787743395979</v>
      </c>
      <c r="B76" s="11">
        <v>0.80192186400795673</v>
      </c>
      <c r="C76" s="11">
        <v>0.66621824043594713</v>
      </c>
      <c r="E76" s="11" t="str">
        <f t="shared" si="28"/>
        <v>IoU 100</v>
      </c>
      <c r="F76" s="11" t="str">
        <f t="shared" si="29"/>
        <v>IoU 100</v>
      </c>
      <c r="G76" s="11" t="str">
        <f t="shared" si="30"/>
        <v>IoU 75</v>
      </c>
      <c r="I76" s="11">
        <v>0.90024742962679483</v>
      </c>
      <c r="J76" s="11">
        <v>0.645445013359502</v>
      </c>
      <c r="K76" s="11">
        <v>0.67599817060559075</v>
      </c>
      <c r="M76" s="11" t="str">
        <f t="shared" si="41"/>
        <v>IoU 100</v>
      </c>
      <c r="N76" s="11" t="str">
        <f t="shared" si="33"/>
        <v>IoU 75</v>
      </c>
      <c r="O76" s="11" t="str">
        <f t="shared" si="34"/>
        <v>IoU 75</v>
      </c>
      <c r="Y76">
        <v>0.81235533401311866</v>
      </c>
      <c r="Z76">
        <v>0.42954214263923041</v>
      </c>
      <c r="AA76">
        <v>0.36019352686019351</v>
      </c>
      <c r="AC76" s="11" t="str">
        <f t="shared" si="31"/>
        <v>IoU 100</v>
      </c>
      <c r="AD76" s="11" t="str">
        <f t="shared" si="37"/>
        <v>IoU 50</v>
      </c>
      <c r="AE76" s="11" t="str">
        <f t="shared" si="38"/>
        <v>IoU 50</v>
      </c>
      <c r="AG76">
        <v>0.84617644598534902</v>
      </c>
      <c r="AH76">
        <v>0.38990591652245676</v>
      </c>
      <c r="AI76">
        <v>0.41929431529410172</v>
      </c>
      <c r="AK76" s="11" t="str">
        <f t="shared" si="32"/>
        <v>IoU 100</v>
      </c>
      <c r="AL76" s="11" t="str">
        <f t="shared" si="39"/>
        <v>IoU 50</v>
      </c>
      <c r="AM76" s="11" t="str">
        <f t="shared" si="40"/>
        <v>IoU 50</v>
      </c>
    </row>
    <row r="77" spans="1:39" ht="15" x14ac:dyDescent="0.25">
      <c r="A77" s="11">
        <v>0.37154981683653115</v>
      </c>
      <c r="B77" s="11">
        <v>0.52722015021681479</v>
      </c>
      <c r="C77" s="11">
        <v>0.60633168635038537</v>
      </c>
      <c r="E77" s="11" t="str">
        <f t="shared" si="28"/>
        <v>IoU 50</v>
      </c>
      <c r="F77" s="11" t="str">
        <f t="shared" si="29"/>
        <v>IoU 75</v>
      </c>
      <c r="G77" s="11" t="str">
        <f t="shared" si="30"/>
        <v>IoU 75</v>
      </c>
      <c r="I77" s="11">
        <v>0.73171283976946377</v>
      </c>
      <c r="J77" s="11">
        <v>0.34926316347242498</v>
      </c>
      <c r="K77" s="11">
        <v>0.36911808176324579</v>
      </c>
      <c r="M77" s="11" t="str">
        <f t="shared" si="41"/>
        <v>IoU 75</v>
      </c>
      <c r="N77" s="11" t="str">
        <f t="shared" si="33"/>
        <v>IoU 50</v>
      </c>
      <c r="O77" s="11" t="str">
        <f t="shared" si="34"/>
        <v>IoU 50</v>
      </c>
      <c r="Q77" s="11">
        <v>0.79500616282708347</v>
      </c>
      <c r="R77" s="11">
        <v>0.51473152627017249</v>
      </c>
      <c r="S77" s="11">
        <v>0.32394763991095904</v>
      </c>
      <c r="U77" s="11" t="str">
        <f t="shared" ref="U77:U85" si="42">VLOOKUP(Q77,IoU_Thresholds,2,TRUE)</f>
        <v>IoU 100</v>
      </c>
      <c r="V77" s="11" t="str">
        <f t="shared" si="35"/>
        <v>IoU 75</v>
      </c>
      <c r="W77" s="11" t="str">
        <f t="shared" si="36"/>
        <v>IoU 50</v>
      </c>
      <c r="Y77">
        <v>0.57030127946310483</v>
      </c>
      <c r="Z77">
        <v>0.57208247977662408</v>
      </c>
      <c r="AA77">
        <v>0.39817339075001906</v>
      </c>
      <c r="AC77" s="11" t="str">
        <f t="shared" si="31"/>
        <v>IoU 75</v>
      </c>
      <c r="AD77" s="11" t="str">
        <f t="shared" si="37"/>
        <v>IoU 75</v>
      </c>
      <c r="AE77" s="11" t="str">
        <f t="shared" si="38"/>
        <v>IoU 50</v>
      </c>
      <c r="AG77">
        <v>0.91185662436771553</v>
      </c>
      <c r="AH77">
        <v>0.78957377380176941</v>
      </c>
      <c r="AI77">
        <v>0.62558974638806575</v>
      </c>
      <c r="AK77" s="11" t="str">
        <f t="shared" si="32"/>
        <v>IoU 100</v>
      </c>
      <c r="AL77" s="11" t="str">
        <f t="shared" si="39"/>
        <v>IoU 100</v>
      </c>
      <c r="AM77" s="11" t="str">
        <f t="shared" si="40"/>
        <v>IoU 75</v>
      </c>
    </row>
    <row r="78" spans="1:39" ht="15" x14ac:dyDescent="0.25">
      <c r="A78" s="11">
        <v>0.80680252126876617</v>
      </c>
      <c r="B78" s="11">
        <v>0.57952028186880511</v>
      </c>
      <c r="C78" s="11">
        <v>0.27714372285627714</v>
      </c>
      <c r="E78" s="11" t="str">
        <f t="shared" si="28"/>
        <v>IoU 100</v>
      </c>
      <c r="F78" s="11" t="str">
        <f t="shared" si="29"/>
        <v>IoU 75</v>
      </c>
      <c r="G78" s="11" t="str">
        <f t="shared" si="30"/>
        <v>IoU 50</v>
      </c>
      <c r="I78" s="11">
        <v>0.77688702198654447</v>
      </c>
      <c r="J78" s="11">
        <v>0.38771410943721513</v>
      </c>
      <c r="K78" s="11">
        <v>0.32945688319718947</v>
      </c>
      <c r="M78" s="11" t="str">
        <f t="shared" si="41"/>
        <v>IoU 100</v>
      </c>
      <c r="N78" s="11" t="str">
        <f t="shared" si="33"/>
        <v>IoU 50</v>
      </c>
      <c r="O78" s="11" t="str">
        <f t="shared" si="34"/>
        <v>IoU 50</v>
      </c>
      <c r="Q78" s="11">
        <v>0.86499075717501506</v>
      </c>
      <c r="R78" s="11">
        <v>0.70391200953982169</v>
      </c>
      <c r="S78" s="11">
        <v>0.74793901023037568</v>
      </c>
      <c r="U78" s="11" t="str">
        <f t="shared" si="42"/>
        <v>IoU 100</v>
      </c>
      <c r="V78" s="11" t="str">
        <f t="shared" si="35"/>
        <v>IoU 75</v>
      </c>
      <c r="W78" s="11" t="str">
        <f t="shared" si="36"/>
        <v>IoU 75</v>
      </c>
      <c r="Y78">
        <v>0</v>
      </c>
      <c r="Z78">
        <v>0.20371104907736032</v>
      </c>
      <c r="AA78">
        <v>0</v>
      </c>
      <c r="AC78" s="11" t="str">
        <f t="shared" si="31"/>
        <v>IoU 25</v>
      </c>
      <c r="AD78" s="11" t="str">
        <f t="shared" si="37"/>
        <v>IoU 25</v>
      </c>
      <c r="AE78" s="11" t="str">
        <f t="shared" si="38"/>
        <v>IoU 25</v>
      </c>
      <c r="AG78">
        <v>0.43577911818364795</v>
      </c>
      <c r="AH78">
        <v>0.5919813912118137</v>
      </c>
      <c r="AI78">
        <v>0.34978607541044038</v>
      </c>
      <c r="AK78" s="11" t="str">
        <f t="shared" si="32"/>
        <v>IoU 50</v>
      </c>
      <c r="AL78" s="11" t="str">
        <f t="shared" si="39"/>
        <v>IoU 75</v>
      </c>
      <c r="AM78" s="11" t="str">
        <f t="shared" si="40"/>
        <v>IoU 50</v>
      </c>
    </row>
    <row r="79" spans="1:39" ht="15" x14ac:dyDescent="0.25">
      <c r="A79" s="11">
        <v>0.69021111181998906</v>
      </c>
      <c r="B79" s="11">
        <v>0.24958632101489245</v>
      </c>
      <c r="C79" s="11">
        <v>0.30515463917525776</v>
      </c>
      <c r="E79" s="11" t="str">
        <f t="shared" si="28"/>
        <v>IoU 75</v>
      </c>
      <c r="F79" s="11" t="str">
        <f t="shared" si="29"/>
        <v>IoU 25</v>
      </c>
      <c r="G79" s="11" t="str">
        <f t="shared" si="30"/>
        <v>IoU 50</v>
      </c>
      <c r="I79" s="11">
        <v>0.75835495629101946</v>
      </c>
      <c r="J79" s="11">
        <v>0.33066854890306779</v>
      </c>
      <c r="K79" s="11">
        <v>0.3186062039386558</v>
      </c>
      <c r="M79" s="11" t="str">
        <f t="shared" si="41"/>
        <v>IoU 100</v>
      </c>
      <c r="N79" s="11" t="str">
        <f t="shared" si="33"/>
        <v>IoU 50</v>
      </c>
      <c r="O79" s="11" t="str">
        <f t="shared" si="34"/>
        <v>IoU 50</v>
      </c>
      <c r="Q79" s="11">
        <v>0.86262498909666552</v>
      </c>
      <c r="R79" s="11">
        <v>0.64540299947913127</v>
      </c>
      <c r="S79" s="11">
        <v>0.52019161497307576</v>
      </c>
      <c r="U79" s="11" t="str">
        <f t="shared" si="42"/>
        <v>IoU 100</v>
      </c>
      <c r="V79" s="11" t="str">
        <f t="shared" si="35"/>
        <v>IoU 75</v>
      </c>
      <c r="W79" s="11" t="str">
        <f t="shared" si="36"/>
        <v>IoU 75</v>
      </c>
      <c r="Y79"/>
      <c r="Z79"/>
      <c r="AA79"/>
      <c r="AG79">
        <v>0.83331093713383364</v>
      </c>
      <c r="AH79">
        <v>0.52987343866410708</v>
      </c>
      <c r="AI79">
        <v>0.59492195475045939</v>
      </c>
      <c r="AK79" s="11" t="str">
        <f t="shared" si="32"/>
        <v>IoU 100</v>
      </c>
      <c r="AL79" s="11" t="str">
        <f t="shared" si="39"/>
        <v>IoU 75</v>
      </c>
      <c r="AM79" s="11" t="str">
        <f t="shared" si="40"/>
        <v>IoU 75</v>
      </c>
    </row>
    <row r="80" spans="1:39" ht="15" x14ac:dyDescent="0.25">
      <c r="A80" s="11">
        <v>0.84004253909172211</v>
      </c>
      <c r="B80" s="11">
        <v>0.73723187381095212</v>
      </c>
      <c r="C80" s="11">
        <v>0.76836771526319358</v>
      </c>
      <c r="E80" s="11" t="str">
        <f t="shared" si="28"/>
        <v>IoU 100</v>
      </c>
      <c r="F80" s="11" t="str">
        <f t="shared" si="29"/>
        <v>IoU 75</v>
      </c>
      <c r="G80" s="11" t="str">
        <f t="shared" si="30"/>
        <v>IoU 100</v>
      </c>
      <c r="I80" s="11">
        <v>0.45256379870390778</v>
      </c>
      <c r="J80" s="11">
        <v>0.55047870919386033</v>
      </c>
      <c r="K80" s="11">
        <v>0.39258767523456439</v>
      </c>
      <c r="M80" s="11" t="str">
        <f t="shared" si="41"/>
        <v>IoU 50</v>
      </c>
      <c r="N80" s="11" t="str">
        <f t="shared" si="33"/>
        <v>IoU 75</v>
      </c>
      <c r="O80" s="11" t="str">
        <f t="shared" si="34"/>
        <v>IoU 50</v>
      </c>
      <c r="Q80" s="11">
        <v>0.82527534071596276</v>
      </c>
      <c r="R80" s="11">
        <v>0.73148251269290698</v>
      </c>
      <c r="S80" s="11">
        <v>0.77331348502903507</v>
      </c>
      <c r="U80" s="11" t="str">
        <f t="shared" si="42"/>
        <v>IoU 100</v>
      </c>
      <c r="V80" s="11" t="str">
        <f t="shared" si="35"/>
        <v>IoU 75</v>
      </c>
      <c r="W80" s="11" t="str">
        <f t="shared" si="36"/>
        <v>IoU 100</v>
      </c>
      <c r="Y80">
        <v>0.56291138570003918</v>
      </c>
      <c r="Z80">
        <v>0.77695041163013645</v>
      </c>
      <c r="AA80">
        <v>0.26089015151515149</v>
      </c>
      <c r="AC80" s="11" t="str">
        <f t="shared" ref="AC80:AC102" si="43">VLOOKUP(Y80,IoU_Thresholds,2,TRUE)</f>
        <v>IoU 75</v>
      </c>
      <c r="AD80" s="11" t="str">
        <f t="shared" si="37"/>
        <v>IoU 100</v>
      </c>
      <c r="AE80" s="11" t="str">
        <f t="shared" si="38"/>
        <v>IoU 50</v>
      </c>
      <c r="AG80">
        <v>0.85625184794542752</v>
      </c>
      <c r="AH80">
        <v>0.77122472919964435</v>
      </c>
      <c r="AI80">
        <v>0.52535113232406094</v>
      </c>
      <c r="AK80" s="11" t="str">
        <f t="shared" si="32"/>
        <v>IoU 100</v>
      </c>
      <c r="AL80" s="11" t="str">
        <f t="shared" si="39"/>
        <v>IoU 100</v>
      </c>
      <c r="AM80" s="11" t="str">
        <f t="shared" si="40"/>
        <v>IoU 75</v>
      </c>
    </row>
    <row r="81" spans="1:39" ht="15" x14ac:dyDescent="0.25">
      <c r="A81" s="11">
        <v>0.82533587411790021</v>
      </c>
      <c r="B81" s="11">
        <v>0.28522064337349234</v>
      </c>
      <c r="C81" s="11">
        <v>0.34270502078907911</v>
      </c>
      <c r="E81" s="11" t="str">
        <f t="shared" si="28"/>
        <v>IoU 100</v>
      </c>
      <c r="F81" s="11" t="str">
        <f t="shared" si="29"/>
        <v>IoU 50</v>
      </c>
      <c r="G81" s="11" t="str">
        <f t="shared" si="30"/>
        <v>IoU 50</v>
      </c>
      <c r="I81" s="11">
        <v>0.44537865235539653</v>
      </c>
      <c r="J81" s="11">
        <v>0.68716810914615012</v>
      </c>
      <c r="K81" s="11">
        <v>0.34306430155775647</v>
      </c>
      <c r="M81" s="11" t="str">
        <f t="shared" si="41"/>
        <v>IoU 50</v>
      </c>
      <c r="N81" s="11" t="str">
        <f t="shared" si="33"/>
        <v>IoU 75</v>
      </c>
      <c r="O81" s="11" t="str">
        <f t="shared" si="34"/>
        <v>IoU 50</v>
      </c>
      <c r="Q81" s="11">
        <v>0.86571534916376947</v>
      </c>
      <c r="R81" s="11">
        <v>0.43025724299111151</v>
      </c>
      <c r="S81" s="11">
        <v>0.68919452691553573</v>
      </c>
      <c r="U81" s="11" t="str">
        <f t="shared" si="42"/>
        <v>IoU 100</v>
      </c>
      <c r="V81" s="11" t="str">
        <f t="shared" si="35"/>
        <v>IoU 50</v>
      </c>
      <c r="W81" s="11" t="str">
        <f t="shared" si="36"/>
        <v>IoU 75</v>
      </c>
      <c r="Y81">
        <v>0.52565979252618233</v>
      </c>
      <c r="Z81">
        <v>0.5412625561504778</v>
      </c>
      <c r="AA81">
        <v>0.28639278081215863</v>
      </c>
      <c r="AC81" s="11" t="str">
        <f t="shared" si="43"/>
        <v>IoU 75</v>
      </c>
      <c r="AD81" s="11" t="str">
        <f t="shared" si="37"/>
        <v>IoU 75</v>
      </c>
      <c r="AE81" s="11" t="str">
        <f t="shared" si="38"/>
        <v>IoU 50</v>
      </c>
      <c r="AG81">
        <v>0.45961820240307044</v>
      </c>
      <c r="AH81">
        <v>0.5923120350098845</v>
      </c>
      <c r="AI81">
        <v>0.23142370958593306</v>
      </c>
      <c r="AK81" s="11" t="str">
        <f t="shared" si="32"/>
        <v>IoU 50</v>
      </c>
      <c r="AL81" s="11" t="str">
        <f t="shared" si="39"/>
        <v>IoU 75</v>
      </c>
      <c r="AM81" s="11" t="str">
        <f t="shared" si="40"/>
        <v>IoU 25</v>
      </c>
    </row>
    <row r="82" spans="1:39" ht="15" x14ac:dyDescent="0.25">
      <c r="A82" s="11">
        <v>0.58395596661395455</v>
      </c>
      <c r="B82" s="11">
        <v>0.35424845765563656</v>
      </c>
      <c r="C82" s="11">
        <v>0.34706077715044836</v>
      </c>
      <c r="E82" s="11" t="str">
        <f t="shared" si="28"/>
        <v>IoU 75</v>
      </c>
      <c r="F82" s="11" t="str">
        <f t="shared" si="29"/>
        <v>IoU 50</v>
      </c>
      <c r="G82" s="11" t="str">
        <f t="shared" si="30"/>
        <v>IoU 50</v>
      </c>
      <c r="I82" s="11">
        <v>0.74916294408182693</v>
      </c>
      <c r="J82" s="11">
        <v>0.57239505855322015</v>
      </c>
      <c r="K82" s="11">
        <v>0.33708631866257249</v>
      </c>
      <c r="M82" s="11" t="str">
        <f t="shared" si="41"/>
        <v>IoU 75</v>
      </c>
      <c r="N82" s="11" t="str">
        <f t="shared" si="33"/>
        <v>IoU 75</v>
      </c>
      <c r="O82" s="11" t="str">
        <f t="shared" si="34"/>
        <v>IoU 50</v>
      </c>
      <c r="Q82" s="11">
        <v>0.87069566627455441</v>
      </c>
      <c r="R82" s="11">
        <v>0.80736586704515378</v>
      </c>
      <c r="S82" s="11">
        <v>0.77063677387298191</v>
      </c>
      <c r="U82" s="11" t="str">
        <f t="shared" si="42"/>
        <v>IoU 100</v>
      </c>
      <c r="V82" s="11" t="str">
        <f t="shared" si="35"/>
        <v>IoU 100</v>
      </c>
      <c r="W82" s="11" t="str">
        <f t="shared" si="36"/>
        <v>IoU 100</v>
      </c>
      <c r="Y82">
        <v>0.53304952410056516</v>
      </c>
      <c r="Z82">
        <v>0.63904743805845254</v>
      </c>
      <c r="AA82">
        <v>0.30004011231448052</v>
      </c>
      <c r="AC82" s="11" t="str">
        <f t="shared" si="43"/>
        <v>IoU 75</v>
      </c>
      <c r="AD82" s="11" t="str">
        <f t="shared" si="37"/>
        <v>IoU 75</v>
      </c>
      <c r="AE82" s="11" t="str">
        <f t="shared" si="38"/>
        <v>IoU 50</v>
      </c>
      <c r="AG82">
        <v>0.90221698443781317</v>
      </c>
      <c r="AH82">
        <v>0.68656627066360154</v>
      </c>
      <c r="AI82">
        <v>0.43005789537678762</v>
      </c>
      <c r="AK82" s="11" t="str">
        <f t="shared" si="32"/>
        <v>IoU 100</v>
      </c>
      <c r="AL82" s="11" t="str">
        <f t="shared" si="39"/>
        <v>IoU 75</v>
      </c>
      <c r="AM82" s="11" t="str">
        <f t="shared" si="40"/>
        <v>IoU 50</v>
      </c>
    </row>
    <row r="83" spans="1:39" ht="15" x14ac:dyDescent="0.25">
      <c r="A83" s="11">
        <v>0.8681505829860704</v>
      </c>
      <c r="B83" s="11">
        <v>0.84084979341299571</v>
      </c>
      <c r="C83" s="11">
        <v>0.70206165894585293</v>
      </c>
      <c r="E83" s="11" t="str">
        <f t="shared" si="28"/>
        <v>IoU 100</v>
      </c>
      <c r="F83" s="11" t="str">
        <f t="shared" si="29"/>
        <v>IoU 100</v>
      </c>
      <c r="G83" s="11" t="str">
        <f t="shared" si="30"/>
        <v>IoU 75</v>
      </c>
      <c r="I83" s="11">
        <v>0.84315806869527155</v>
      </c>
      <c r="J83" s="11">
        <v>0.5129107822394684</v>
      </c>
      <c r="K83" s="11">
        <v>0.56675802258762897</v>
      </c>
      <c r="M83" s="11" t="str">
        <f t="shared" si="41"/>
        <v>IoU 100</v>
      </c>
      <c r="N83" s="11" t="str">
        <f t="shared" si="33"/>
        <v>IoU 75</v>
      </c>
      <c r="O83" s="11" t="str">
        <f t="shared" si="34"/>
        <v>IoU 75</v>
      </c>
      <c r="Q83" s="11">
        <v>0.39276358170496029</v>
      </c>
      <c r="R83" s="11">
        <v>0.38262562498029523</v>
      </c>
      <c r="S83" s="11">
        <v>0.37636014508214211</v>
      </c>
      <c r="U83" s="11" t="str">
        <f t="shared" si="42"/>
        <v>IoU 50</v>
      </c>
      <c r="V83" s="11" t="str">
        <f t="shared" si="35"/>
        <v>IoU 50</v>
      </c>
      <c r="W83" s="11" t="str">
        <f t="shared" si="36"/>
        <v>IoU 50</v>
      </c>
      <c r="Y83">
        <v>0.36594378723901738</v>
      </c>
      <c r="Z83">
        <v>0</v>
      </c>
      <c r="AA83">
        <v>3.8518731711996927E-2</v>
      </c>
      <c r="AC83" s="11" t="str">
        <f t="shared" si="43"/>
        <v>IoU 50</v>
      </c>
      <c r="AD83" s="11" t="str">
        <f t="shared" si="37"/>
        <v>IoU 25</v>
      </c>
      <c r="AE83" s="11" t="str">
        <f t="shared" si="38"/>
        <v>IoU 25</v>
      </c>
      <c r="AG83">
        <v>0.43519905262791264</v>
      </c>
      <c r="AH83">
        <v>0.37240643318304423</v>
      </c>
      <c r="AI83">
        <v>0.10174418604651163</v>
      </c>
      <c r="AK83" s="11" t="str">
        <f t="shared" si="32"/>
        <v>IoU 50</v>
      </c>
      <c r="AL83" s="11" t="str">
        <f t="shared" si="39"/>
        <v>IoU 50</v>
      </c>
      <c r="AM83" s="11" t="str">
        <f t="shared" si="40"/>
        <v>IoU 25</v>
      </c>
    </row>
    <row r="84" spans="1:39" ht="15" x14ac:dyDescent="0.25">
      <c r="A84" s="11">
        <v>0.8400613669745165</v>
      </c>
      <c r="B84" s="11">
        <v>0.52891470794013473</v>
      </c>
      <c r="C84" s="11">
        <v>0.62060989385277354</v>
      </c>
      <c r="E84" s="11" t="str">
        <f t="shared" si="28"/>
        <v>IoU 100</v>
      </c>
      <c r="F84" s="11" t="str">
        <f t="shared" si="29"/>
        <v>IoU 75</v>
      </c>
      <c r="G84" s="11" t="str">
        <f t="shared" si="30"/>
        <v>IoU 75</v>
      </c>
      <c r="I84" s="11">
        <v>0.5540682888676951</v>
      </c>
      <c r="J84" s="11">
        <v>0.53381038709134099</v>
      </c>
      <c r="K84" s="11">
        <v>0.37376033057851238</v>
      </c>
      <c r="M84" s="11" t="str">
        <f t="shared" si="41"/>
        <v>IoU 75</v>
      </c>
      <c r="N84" s="11" t="str">
        <f t="shared" si="33"/>
        <v>IoU 75</v>
      </c>
      <c r="O84" s="11" t="str">
        <f t="shared" si="34"/>
        <v>IoU 50</v>
      </c>
      <c r="Q84" s="11">
        <v>0.87694362093158396</v>
      </c>
      <c r="R84" s="11">
        <v>0.72708058176747548</v>
      </c>
      <c r="S84" s="11">
        <v>0.53364047020850303</v>
      </c>
      <c r="U84" s="11" t="str">
        <f t="shared" si="42"/>
        <v>IoU 100</v>
      </c>
      <c r="V84" s="11" t="str">
        <f t="shared" si="35"/>
        <v>IoU 75</v>
      </c>
      <c r="W84" s="11" t="str">
        <f t="shared" si="36"/>
        <v>IoU 75</v>
      </c>
      <c r="Y84">
        <v>0.79001432827659412</v>
      </c>
      <c r="Z84">
        <v>0.14223586595037094</v>
      </c>
      <c r="AA84">
        <v>0.28081797235023043</v>
      </c>
      <c r="AC84" s="11" t="str">
        <f t="shared" si="43"/>
        <v>IoU 100</v>
      </c>
      <c r="AD84" s="11" t="str">
        <f t="shared" si="37"/>
        <v>IoU 25</v>
      </c>
      <c r="AE84" s="11" t="str">
        <f t="shared" si="38"/>
        <v>IoU 50</v>
      </c>
      <c r="AG84">
        <v>0.86177939733779718</v>
      </c>
      <c r="AH84">
        <v>0.64003001637459267</v>
      </c>
      <c r="AI84">
        <v>0.5426354679802956</v>
      </c>
      <c r="AK84" s="11" t="str">
        <f t="shared" si="32"/>
        <v>IoU 100</v>
      </c>
      <c r="AL84" s="11" t="str">
        <f t="shared" si="39"/>
        <v>IoU 75</v>
      </c>
      <c r="AM84" s="11" t="str">
        <f t="shared" si="40"/>
        <v>IoU 75</v>
      </c>
    </row>
    <row r="85" spans="1:39" ht="15" x14ac:dyDescent="0.25">
      <c r="A85" s="11">
        <v>0.85036643343815044</v>
      </c>
      <c r="B85" s="11">
        <v>0.39209362013771881</v>
      </c>
      <c r="C85" s="11">
        <v>0.29535241096322751</v>
      </c>
      <c r="E85" s="11" t="str">
        <f t="shared" si="28"/>
        <v>IoU 100</v>
      </c>
      <c r="F85" s="11" t="str">
        <f t="shared" si="29"/>
        <v>IoU 50</v>
      </c>
      <c r="G85" s="11" t="str">
        <f t="shared" si="30"/>
        <v>IoU 50</v>
      </c>
      <c r="I85" s="11">
        <v>0.54978381663715059</v>
      </c>
      <c r="J85" s="11">
        <v>0.37852018417389444</v>
      </c>
      <c r="K85" s="11">
        <v>0.50118106874671364</v>
      </c>
      <c r="M85" s="11" t="str">
        <f t="shared" si="41"/>
        <v>IoU 75</v>
      </c>
      <c r="N85" s="11" t="str">
        <f t="shared" si="33"/>
        <v>IoU 50</v>
      </c>
      <c r="O85" s="11" t="str">
        <f t="shared" si="34"/>
        <v>IoU 75</v>
      </c>
      <c r="Q85" s="11">
        <v>0.8363604668499196</v>
      </c>
      <c r="R85" s="11">
        <v>0.74861737443051568</v>
      </c>
      <c r="S85" s="11">
        <v>0.48174531006176602</v>
      </c>
      <c r="U85" s="11" t="str">
        <f t="shared" si="42"/>
        <v>IoU 100</v>
      </c>
      <c r="V85" s="11" t="str">
        <f t="shared" si="35"/>
        <v>IoU 75</v>
      </c>
      <c r="W85" s="11" t="str">
        <f t="shared" si="36"/>
        <v>IoU 50</v>
      </c>
      <c r="Y85">
        <v>0.58383262059529251</v>
      </c>
      <c r="Z85">
        <v>0.74542903546747219</v>
      </c>
      <c r="AA85">
        <v>0.50656764799504217</v>
      </c>
      <c r="AC85" s="11" t="str">
        <f t="shared" si="43"/>
        <v>IoU 75</v>
      </c>
      <c r="AD85" s="11" t="str">
        <f t="shared" si="37"/>
        <v>IoU 75</v>
      </c>
      <c r="AE85" s="11" t="str">
        <f t="shared" si="38"/>
        <v>IoU 75</v>
      </c>
      <c r="AG85">
        <v>0.83649299394828969</v>
      </c>
      <c r="AH85">
        <v>0.5979844569740298</v>
      </c>
      <c r="AI85">
        <v>0.31525625744934443</v>
      </c>
      <c r="AK85" s="11" t="str">
        <f t="shared" si="32"/>
        <v>IoU 100</v>
      </c>
      <c r="AL85" s="11" t="str">
        <f t="shared" si="39"/>
        <v>IoU 75</v>
      </c>
      <c r="AM85" s="11" t="str">
        <f t="shared" si="40"/>
        <v>IoU 50</v>
      </c>
    </row>
    <row r="86" spans="1:39" ht="15" x14ac:dyDescent="0.25">
      <c r="A86" s="11">
        <v>0.86700787327844187</v>
      </c>
      <c r="B86" s="11">
        <v>0.86421360334767949</v>
      </c>
      <c r="C86" s="11">
        <v>0.75892352545413777</v>
      </c>
      <c r="E86" s="11" t="str">
        <f t="shared" si="28"/>
        <v>IoU 100</v>
      </c>
      <c r="F86" s="11" t="str">
        <f t="shared" si="29"/>
        <v>IoU 100</v>
      </c>
      <c r="G86" s="11" t="str">
        <f t="shared" si="30"/>
        <v>IoU 100</v>
      </c>
      <c r="I86" s="11">
        <v>0.72779659800521324</v>
      </c>
      <c r="J86" s="11">
        <v>0.55718127720846455</v>
      </c>
      <c r="K86" s="11">
        <v>0.37890468208608591</v>
      </c>
      <c r="M86" s="11" t="str">
        <f t="shared" si="41"/>
        <v>IoU 75</v>
      </c>
      <c r="N86" s="11" t="str">
        <f t="shared" si="33"/>
        <v>IoU 75</v>
      </c>
      <c r="O86" s="11" t="str">
        <f t="shared" si="34"/>
        <v>IoU 50</v>
      </c>
      <c r="Y86">
        <v>0.58600215212976903</v>
      </c>
      <c r="Z86">
        <v>0.72260713890265871</v>
      </c>
      <c r="AA86">
        <v>0.40565363666288773</v>
      </c>
      <c r="AC86" s="11" t="str">
        <f t="shared" si="43"/>
        <v>IoU 75</v>
      </c>
      <c r="AD86" s="11" t="str">
        <f t="shared" si="37"/>
        <v>IoU 75</v>
      </c>
      <c r="AE86" s="11" t="str">
        <f t="shared" si="38"/>
        <v>IoU 50</v>
      </c>
      <c r="AG86">
        <v>0.87783965650866425</v>
      </c>
      <c r="AH86">
        <v>0.66182392019316483</v>
      </c>
      <c r="AI86">
        <v>0.63809932978174944</v>
      </c>
      <c r="AK86" s="11" t="str">
        <f t="shared" si="32"/>
        <v>IoU 100</v>
      </c>
      <c r="AL86" s="11" t="str">
        <f t="shared" si="39"/>
        <v>IoU 75</v>
      </c>
      <c r="AM86" s="11" t="str">
        <f t="shared" si="40"/>
        <v>IoU 75</v>
      </c>
    </row>
    <row r="87" spans="1:39" ht="15" x14ac:dyDescent="0.25">
      <c r="A87" s="11">
        <v>0.40666719330120865</v>
      </c>
      <c r="B87" s="11">
        <v>0.47637567600502762</v>
      </c>
      <c r="C87" s="11">
        <v>0.5046525616301486</v>
      </c>
      <c r="E87" s="11" t="str">
        <f t="shared" si="28"/>
        <v>IoU 50</v>
      </c>
      <c r="F87" s="11" t="str">
        <f t="shared" si="29"/>
        <v>IoU 50</v>
      </c>
      <c r="G87" s="11" t="str">
        <f t="shared" si="30"/>
        <v>IoU 75</v>
      </c>
      <c r="I87" s="11">
        <v>0.46150878819007984</v>
      </c>
      <c r="J87" s="11">
        <v>0.53910685861834218</v>
      </c>
      <c r="K87" s="11">
        <v>0.66574483689267083</v>
      </c>
      <c r="M87" s="11" t="str">
        <f t="shared" si="41"/>
        <v>IoU 50</v>
      </c>
      <c r="N87" s="11" t="str">
        <f t="shared" si="33"/>
        <v>IoU 75</v>
      </c>
      <c r="O87" s="11" t="str">
        <f t="shared" si="34"/>
        <v>IoU 75</v>
      </c>
      <c r="Q87" s="11">
        <v>0.821569354745187</v>
      </c>
      <c r="R87" s="11">
        <v>0.71157509055358426</v>
      </c>
      <c r="S87" s="11">
        <v>0.61715378173150948</v>
      </c>
      <c r="U87" s="11" t="str">
        <f t="shared" ref="U87:U118" si="44">VLOOKUP(Q87,IoU_Thresholds,2,TRUE)</f>
        <v>IoU 100</v>
      </c>
      <c r="V87" s="11" t="str">
        <f t="shared" si="35"/>
        <v>IoU 75</v>
      </c>
      <c r="W87" s="11" t="str">
        <f t="shared" si="36"/>
        <v>IoU 75</v>
      </c>
      <c r="Y87">
        <v>0.71456202086816556</v>
      </c>
      <c r="Z87">
        <v>0.58550269870589333</v>
      </c>
      <c r="AA87">
        <v>0.3794642857142857</v>
      </c>
      <c r="AC87" s="11" t="str">
        <f t="shared" si="43"/>
        <v>IoU 75</v>
      </c>
      <c r="AD87" s="11" t="str">
        <f t="shared" si="37"/>
        <v>IoU 75</v>
      </c>
      <c r="AE87" s="11" t="str">
        <f t="shared" si="38"/>
        <v>IoU 50</v>
      </c>
      <c r="AG87">
        <v>0.91001675012068162</v>
      </c>
      <c r="AH87">
        <v>0.55695974347388533</v>
      </c>
      <c r="AI87">
        <v>0.47695365285932079</v>
      </c>
      <c r="AK87" s="11" t="str">
        <f t="shared" si="32"/>
        <v>IoU 100</v>
      </c>
      <c r="AL87" s="11" t="str">
        <f t="shared" si="39"/>
        <v>IoU 75</v>
      </c>
      <c r="AM87" s="11" t="str">
        <f t="shared" si="40"/>
        <v>IoU 50</v>
      </c>
    </row>
    <row r="88" spans="1:39" ht="15" x14ac:dyDescent="0.25">
      <c r="A88" s="11">
        <v>0.81391627466345273</v>
      </c>
      <c r="B88" s="11">
        <v>0.33970353146345006</v>
      </c>
      <c r="C88" s="11">
        <v>0.36201356658336309</v>
      </c>
      <c r="E88" s="11" t="str">
        <f t="shared" si="28"/>
        <v>IoU 100</v>
      </c>
      <c r="F88" s="11" t="str">
        <f t="shared" si="29"/>
        <v>IoU 50</v>
      </c>
      <c r="G88" s="11" t="str">
        <f t="shared" si="30"/>
        <v>IoU 50</v>
      </c>
      <c r="I88" s="11">
        <v>0.41779663195743205</v>
      </c>
      <c r="J88" s="11">
        <v>0.72569551526951459</v>
      </c>
      <c r="K88" s="11">
        <v>0.43840999119253404</v>
      </c>
      <c r="M88" s="11" t="str">
        <f t="shared" si="41"/>
        <v>IoU 50</v>
      </c>
      <c r="N88" s="11" t="str">
        <f t="shared" si="33"/>
        <v>IoU 75</v>
      </c>
      <c r="O88" s="11" t="str">
        <f t="shared" si="34"/>
        <v>IoU 50</v>
      </c>
      <c r="Q88" s="11">
        <v>0.84418452698816959</v>
      </c>
      <c r="R88" s="11">
        <v>0.82374866134520497</v>
      </c>
      <c r="S88" s="11">
        <v>0.60678601887278449</v>
      </c>
      <c r="U88" s="11" t="str">
        <f t="shared" si="44"/>
        <v>IoU 100</v>
      </c>
      <c r="V88" s="11" t="str">
        <f t="shared" si="35"/>
        <v>IoU 100</v>
      </c>
      <c r="W88" s="11" t="str">
        <f t="shared" si="36"/>
        <v>IoU 75</v>
      </c>
      <c r="Y88">
        <v>0.84658014593486408</v>
      </c>
      <c r="Z88">
        <v>0.30120143723332587</v>
      </c>
      <c r="AA88">
        <v>0.21301154249737669</v>
      </c>
      <c r="AC88" s="11" t="str">
        <f t="shared" si="43"/>
        <v>IoU 100</v>
      </c>
      <c r="AD88" s="11" t="str">
        <f t="shared" si="37"/>
        <v>IoU 50</v>
      </c>
      <c r="AE88" s="11" t="str">
        <f t="shared" si="38"/>
        <v>IoU 25</v>
      </c>
      <c r="AG88">
        <v>0.80616825649789003</v>
      </c>
      <c r="AH88">
        <v>0.58195426753301516</v>
      </c>
      <c r="AI88">
        <v>0.4950153304250508</v>
      </c>
      <c r="AK88" s="11" t="str">
        <f t="shared" si="32"/>
        <v>IoU 100</v>
      </c>
      <c r="AL88" s="11" t="str">
        <f t="shared" si="39"/>
        <v>IoU 75</v>
      </c>
      <c r="AM88" s="11" t="str">
        <f t="shared" si="40"/>
        <v>IoU 50</v>
      </c>
    </row>
    <row r="89" spans="1:39" ht="15" x14ac:dyDescent="0.25">
      <c r="A89" s="11">
        <v>0.45975957026250347</v>
      </c>
      <c r="B89" s="11">
        <v>0.58926216742358895</v>
      </c>
      <c r="C89" s="11">
        <v>0.25392091893085927</v>
      </c>
      <c r="E89" s="11" t="str">
        <f t="shared" si="28"/>
        <v>IoU 50</v>
      </c>
      <c r="F89" s="11" t="str">
        <f t="shared" si="29"/>
        <v>IoU 75</v>
      </c>
      <c r="G89" s="11" t="str">
        <f t="shared" si="30"/>
        <v>IoU 50</v>
      </c>
      <c r="I89" s="11">
        <v>0.8886410800988811</v>
      </c>
      <c r="J89" s="11">
        <v>0.69999233559784235</v>
      </c>
      <c r="K89" s="11">
        <v>0.71099741988826071</v>
      </c>
      <c r="M89" s="11" t="str">
        <f t="shared" si="41"/>
        <v>IoU 100</v>
      </c>
      <c r="N89" s="11" t="str">
        <f t="shared" si="33"/>
        <v>IoU 75</v>
      </c>
      <c r="O89" s="11" t="str">
        <f t="shared" si="34"/>
        <v>IoU 75</v>
      </c>
      <c r="Q89" s="11">
        <v>0.79578389209034706</v>
      </c>
      <c r="R89" s="11">
        <v>0.74069162464830951</v>
      </c>
      <c r="S89" s="11">
        <v>0.69660931112107249</v>
      </c>
      <c r="U89" s="11" t="str">
        <f t="shared" si="44"/>
        <v>IoU 100</v>
      </c>
      <c r="V89" s="11" t="str">
        <f t="shared" si="35"/>
        <v>IoU 75</v>
      </c>
      <c r="W89" s="11" t="str">
        <f t="shared" si="36"/>
        <v>IoU 75</v>
      </c>
      <c r="Y89">
        <v>0.5825302230998417</v>
      </c>
      <c r="Z89">
        <v>0.38921968035098714</v>
      </c>
      <c r="AA89">
        <v>0.50515452440327757</v>
      </c>
      <c r="AC89" s="11" t="str">
        <f t="shared" si="43"/>
        <v>IoU 75</v>
      </c>
      <c r="AD89" s="11" t="str">
        <f t="shared" si="37"/>
        <v>IoU 50</v>
      </c>
      <c r="AE89" s="11" t="str">
        <f t="shared" si="38"/>
        <v>IoU 75</v>
      </c>
      <c r="AG89">
        <v>0.81258692772344665</v>
      </c>
      <c r="AH89">
        <v>0.70318616288264857</v>
      </c>
      <c r="AI89">
        <v>0.59942953644536678</v>
      </c>
      <c r="AK89" s="11" t="str">
        <f t="shared" si="32"/>
        <v>IoU 100</v>
      </c>
      <c r="AL89" s="11" t="str">
        <f t="shared" si="39"/>
        <v>IoU 75</v>
      </c>
      <c r="AM89" s="11" t="str">
        <f t="shared" si="40"/>
        <v>IoU 75</v>
      </c>
    </row>
    <row r="90" spans="1:39" ht="15" x14ac:dyDescent="0.25">
      <c r="A90" s="11">
        <v>0.90256077663234335</v>
      </c>
      <c r="B90" s="11">
        <v>0.78465799338085218</v>
      </c>
      <c r="C90" s="11">
        <v>0.73164122280173627</v>
      </c>
      <c r="E90" s="11" t="str">
        <f t="shared" si="28"/>
        <v>IoU 100</v>
      </c>
      <c r="F90" s="11" t="str">
        <f t="shared" si="29"/>
        <v>IoU 100</v>
      </c>
      <c r="G90" s="11" t="str">
        <f t="shared" si="30"/>
        <v>IoU 75</v>
      </c>
      <c r="I90" s="11">
        <v>0.85992061178424772</v>
      </c>
      <c r="J90" s="11">
        <v>0.61419282067852732</v>
      </c>
      <c r="K90" s="11">
        <v>0.72879208523121264</v>
      </c>
      <c r="M90" s="11" t="str">
        <f t="shared" si="41"/>
        <v>IoU 100</v>
      </c>
      <c r="N90" s="11" t="str">
        <f t="shared" si="33"/>
        <v>IoU 75</v>
      </c>
      <c r="O90" s="11" t="str">
        <f t="shared" si="34"/>
        <v>IoU 75</v>
      </c>
      <c r="Q90" s="11">
        <v>0.85713811218826086</v>
      </c>
      <c r="R90" s="11">
        <v>0.76265432569051184</v>
      </c>
      <c r="S90" s="11">
        <v>0.77640781217637678</v>
      </c>
      <c r="U90" s="11" t="str">
        <f t="shared" si="44"/>
        <v>IoU 100</v>
      </c>
      <c r="V90" s="11" t="str">
        <f t="shared" si="35"/>
        <v>IoU 100</v>
      </c>
      <c r="W90" s="11" t="str">
        <f t="shared" si="36"/>
        <v>IoU 100</v>
      </c>
      <c r="Y90">
        <v>0.89248148425525087</v>
      </c>
      <c r="Z90">
        <v>0.57629635960129533</v>
      </c>
      <c r="AA90">
        <v>0.38267777562487892</v>
      </c>
      <c r="AC90" s="11" t="str">
        <f t="shared" si="43"/>
        <v>IoU 100</v>
      </c>
      <c r="AD90" s="11" t="str">
        <f t="shared" si="37"/>
        <v>IoU 75</v>
      </c>
      <c r="AE90" s="11" t="str">
        <f t="shared" si="38"/>
        <v>IoU 50</v>
      </c>
      <c r="AG90">
        <v>0.83594762943906631</v>
      </c>
      <c r="AH90">
        <v>0.57995852231017031</v>
      </c>
      <c r="AI90">
        <v>0.48268214856968761</v>
      </c>
      <c r="AK90" s="11" t="str">
        <f t="shared" si="32"/>
        <v>IoU 100</v>
      </c>
      <c r="AL90" s="11" t="str">
        <f t="shared" si="39"/>
        <v>IoU 75</v>
      </c>
      <c r="AM90" s="11" t="str">
        <f t="shared" si="40"/>
        <v>IoU 50</v>
      </c>
    </row>
    <row r="91" spans="1:39" ht="15" x14ac:dyDescent="0.25">
      <c r="A91" s="11">
        <v>0.57511514522461127</v>
      </c>
      <c r="B91" s="11">
        <v>0.37116176005064894</v>
      </c>
      <c r="C91" s="11">
        <v>0.35524741834119988</v>
      </c>
      <c r="E91" s="11" t="str">
        <f t="shared" si="28"/>
        <v>IoU 75</v>
      </c>
      <c r="F91" s="11" t="str">
        <f t="shared" si="29"/>
        <v>IoU 50</v>
      </c>
      <c r="G91" s="11" t="str">
        <f t="shared" si="30"/>
        <v>IoU 50</v>
      </c>
      <c r="I91" s="11">
        <v>0.7454814751134643</v>
      </c>
      <c r="J91" s="11">
        <v>0.73445678064202391</v>
      </c>
      <c r="K91" s="11">
        <v>0.80575875921268014</v>
      </c>
      <c r="M91" s="11" t="str">
        <f t="shared" si="41"/>
        <v>IoU 75</v>
      </c>
      <c r="N91" s="11" t="str">
        <f t="shared" si="33"/>
        <v>IoU 75</v>
      </c>
      <c r="O91" s="11" t="str">
        <f t="shared" si="34"/>
        <v>IoU 100</v>
      </c>
      <c r="Q91" s="11">
        <v>0.82054496186922088</v>
      </c>
      <c r="R91" s="11">
        <v>0.74250668988503987</v>
      </c>
      <c r="S91" s="11">
        <v>0.6753470048159298</v>
      </c>
      <c r="U91" s="11" t="str">
        <f t="shared" si="44"/>
        <v>IoU 100</v>
      </c>
      <c r="V91" s="11" t="str">
        <f t="shared" si="35"/>
        <v>IoU 75</v>
      </c>
      <c r="W91" s="11" t="str">
        <f t="shared" si="36"/>
        <v>IoU 75</v>
      </c>
      <c r="Y91">
        <v>0.70781890270656389</v>
      </c>
      <c r="Z91">
        <v>0.44117197062423502</v>
      </c>
      <c r="AA91">
        <v>0.29528535980148884</v>
      </c>
      <c r="AC91" s="11" t="str">
        <f t="shared" si="43"/>
        <v>IoU 75</v>
      </c>
      <c r="AD91" s="11" t="str">
        <f t="shared" si="37"/>
        <v>IoU 50</v>
      </c>
      <c r="AE91" s="11" t="str">
        <f t="shared" si="38"/>
        <v>IoU 50</v>
      </c>
      <c r="AG91">
        <v>0.45309288283658788</v>
      </c>
      <c r="AH91">
        <v>0.42806190129171534</v>
      </c>
      <c r="AI91">
        <v>0.26911099544100225</v>
      </c>
      <c r="AK91" s="11" t="str">
        <f t="shared" si="32"/>
        <v>IoU 50</v>
      </c>
      <c r="AL91" s="11" t="str">
        <f t="shared" si="39"/>
        <v>IoU 50</v>
      </c>
      <c r="AM91" s="11" t="str">
        <f t="shared" si="40"/>
        <v>IoU 50</v>
      </c>
    </row>
    <row r="92" spans="1:39" ht="15" x14ac:dyDescent="0.25">
      <c r="A92" s="11">
        <v>0.88327384894024752</v>
      </c>
      <c r="B92" s="11">
        <v>0.74627724810950147</v>
      </c>
      <c r="C92" s="11">
        <v>0.56091565112366393</v>
      </c>
      <c r="E92" s="11" t="str">
        <f t="shared" si="28"/>
        <v>IoU 100</v>
      </c>
      <c r="F92" s="11" t="str">
        <f t="shared" si="29"/>
        <v>IoU 75</v>
      </c>
      <c r="G92" s="11" t="str">
        <f t="shared" si="30"/>
        <v>IoU 75</v>
      </c>
      <c r="I92" s="11">
        <v>0.52621615985808734</v>
      </c>
      <c r="J92" s="11">
        <v>0.50755758815960006</v>
      </c>
      <c r="K92" s="11">
        <v>0.4074510917825569</v>
      </c>
      <c r="M92" s="11" t="str">
        <f t="shared" si="41"/>
        <v>IoU 75</v>
      </c>
      <c r="N92" s="11" t="str">
        <f t="shared" si="33"/>
        <v>IoU 75</v>
      </c>
      <c r="O92" s="11" t="str">
        <f t="shared" si="34"/>
        <v>IoU 50</v>
      </c>
      <c r="Q92" s="11">
        <v>0.87246511549993921</v>
      </c>
      <c r="R92" s="11">
        <v>0.53595591119609287</v>
      </c>
      <c r="S92" s="11">
        <v>0.74430336066789715</v>
      </c>
      <c r="U92" s="11" t="str">
        <f t="shared" si="44"/>
        <v>IoU 100</v>
      </c>
      <c r="V92" s="11" t="str">
        <f t="shared" si="35"/>
        <v>IoU 75</v>
      </c>
      <c r="W92" s="11" t="str">
        <f t="shared" si="36"/>
        <v>IoU 75</v>
      </c>
      <c r="Y92">
        <v>0.51932365618252174</v>
      </c>
      <c r="Z92">
        <v>0.37272064186725018</v>
      </c>
      <c r="AA92">
        <v>0.3170103092783505</v>
      </c>
      <c r="AC92" s="11" t="str">
        <f t="shared" si="43"/>
        <v>IoU 75</v>
      </c>
      <c r="AD92" s="11" t="str">
        <f t="shared" si="37"/>
        <v>IoU 50</v>
      </c>
      <c r="AE92" s="11" t="str">
        <f t="shared" si="38"/>
        <v>IoU 50</v>
      </c>
      <c r="AG92">
        <v>0.80517836338434212</v>
      </c>
      <c r="AH92">
        <v>0.67146286226777474</v>
      </c>
      <c r="AI92">
        <v>0.39188939378006055</v>
      </c>
      <c r="AK92" s="11" t="str">
        <f t="shared" si="32"/>
        <v>IoU 100</v>
      </c>
      <c r="AL92" s="11" t="str">
        <f t="shared" si="39"/>
        <v>IoU 75</v>
      </c>
      <c r="AM92" s="11" t="str">
        <f t="shared" si="40"/>
        <v>IoU 50</v>
      </c>
    </row>
    <row r="93" spans="1:39" ht="15" x14ac:dyDescent="0.25">
      <c r="A93" s="11">
        <v>0.84966473670391329</v>
      </c>
      <c r="B93" s="11">
        <v>0.71469050355970842</v>
      </c>
      <c r="C93" s="11">
        <v>0.68804139145195053</v>
      </c>
      <c r="E93" s="11" t="str">
        <f t="shared" si="28"/>
        <v>IoU 100</v>
      </c>
      <c r="F93" s="11" t="str">
        <f t="shared" si="29"/>
        <v>IoU 75</v>
      </c>
      <c r="G93" s="11" t="str">
        <f t="shared" si="30"/>
        <v>IoU 75</v>
      </c>
      <c r="I93" s="11">
        <v>0.69772496588399835</v>
      </c>
      <c r="J93" s="11">
        <v>0.26463699202463969</v>
      </c>
      <c r="K93" s="11">
        <v>0.39729869593057549</v>
      </c>
      <c r="M93" s="11" t="str">
        <f t="shared" si="41"/>
        <v>IoU 75</v>
      </c>
      <c r="N93" s="11" t="str">
        <f t="shared" si="33"/>
        <v>IoU 50</v>
      </c>
      <c r="O93" s="11" t="str">
        <f t="shared" si="34"/>
        <v>IoU 50</v>
      </c>
      <c r="Q93" s="11">
        <v>0.87437060155072155</v>
      </c>
      <c r="R93" s="11">
        <v>0.64643268844228308</v>
      </c>
      <c r="S93" s="11">
        <v>0.61129071355012277</v>
      </c>
      <c r="U93" s="11" t="str">
        <f t="shared" si="44"/>
        <v>IoU 100</v>
      </c>
      <c r="V93" s="11" t="str">
        <f t="shared" si="35"/>
        <v>IoU 75</v>
      </c>
      <c r="W93" s="11" t="str">
        <f t="shared" si="36"/>
        <v>IoU 75</v>
      </c>
      <c r="Y93">
        <v>0.83358509998829333</v>
      </c>
      <c r="Z93">
        <v>0.76586148643404095</v>
      </c>
      <c r="AA93">
        <v>0.25060240963855424</v>
      </c>
      <c r="AC93" s="11" t="str">
        <f t="shared" si="43"/>
        <v>IoU 100</v>
      </c>
      <c r="AD93" s="11" t="str">
        <f t="shared" si="37"/>
        <v>IoU 100</v>
      </c>
      <c r="AE93" s="11" t="str">
        <f t="shared" si="38"/>
        <v>IoU 50</v>
      </c>
      <c r="AG93">
        <v>0.87419411316029383</v>
      </c>
      <c r="AH93">
        <v>0.66660098664524714</v>
      </c>
      <c r="AI93">
        <v>0.69278325544283592</v>
      </c>
      <c r="AK93" s="11" t="str">
        <f t="shared" si="32"/>
        <v>IoU 100</v>
      </c>
      <c r="AL93" s="11" t="str">
        <f t="shared" si="39"/>
        <v>IoU 75</v>
      </c>
      <c r="AM93" s="11" t="str">
        <f t="shared" si="40"/>
        <v>IoU 75</v>
      </c>
    </row>
    <row r="94" spans="1:39" ht="15" x14ac:dyDescent="0.25">
      <c r="A94" s="11">
        <v>0.22172825202506535</v>
      </c>
      <c r="B94" s="11">
        <v>8.3189604375432644E-2</v>
      </c>
      <c r="C94" s="11">
        <v>0.11689497312416175</v>
      </c>
      <c r="E94" s="11" t="str">
        <f t="shared" si="28"/>
        <v>IoU 25</v>
      </c>
      <c r="F94" s="11" t="str">
        <f t="shared" si="29"/>
        <v>IoU 25</v>
      </c>
      <c r="G94" s="11" t="str">
        <f t="shared" si="30"/>
        <v>IoU 25</v>
      </c>
      <c r="I94" s="11">
        <v>0.75032624793162261</v>
      </c>
      <c r="J94" s="11">
        <v>0.34911302616741574</v>
      </c>
      <c r="K94" s="11">
        <v>0.38048530527829283</v>
      </c>
      <c r="M94" s="11" t="str">
        <f t="shared" si="41"/>
        <v>IoU 100</v>
      </c>
      <c r="N94" s="11" t="str">
        <f t="shared" si="33"/>
        <v>IoU 50</v>
      </c>
      <c r="O94" s="11" t="str">
        <f t="shared" si="34"/>
        <v>IoU 50</v>
      </c>
      <c r="Q94" s="11">
        <v>0.8618403668467125</v>
      </c>
      <c r="R94" s="11">
        <v>0.77757979513307285</v>
      </c>
      <c r="S94" s="11">
        <v>0.58266101904604217</v>
      </c>
      <c r="U94" s="11" t="str">
        <f t="shared" si="44"/>
        <v>IoU 100</v>
      </c>
      <c r="V94" s="11" t="str">
        <f t="shared" si="35"/>
        <v>IoU 100</v>
      </c>
      <c r="W94" s="11" t="str">
        <f t="shared" si="36"/>
        <v>IoU 75</v>
      </c>
      <c r="Y94">
        <v>0.57116909036034214</v>
      </c>
      <c r="Z94">
        <v>0.7303057284567156</v>
      </c>
      <c r="AA94">
        <v>0.35230194715047969</v>
      </c>
      <c r="AC94" s="11" t="str">
        <f t="shared" si="43"/>
        <v>IoU 75</v>
      </c>
      <c r="AD94" s="11" t="str">
        <f t="shared" si="37"/>
        <v>IoU 75</v>
      </c>
      <c r="AE94" s="11" t="str">
        <f t="shared" si="38"/>
        <v>IoU 50</v>
      </c>
      <c r="AG94">
        <v>0.7523117726058608</v>
      </c>
      <c r="AH94">
        <v>0.35476190476190478</v>
      </c>
      <c r="AI94">
        <v>0.30974232262619134</v>
      </c>
      <c r="AK94" s="11" t="str">
        <f t="shared" si="32"/>
        <v>IoU 100</v>
      </c>
      <c r="AL94" s="11" t="str">
        <f t="shared" si="39"/>
        <v>IoU 50</v>
      </c>
      <c r="AM94" s="11" t="str">
        <f t="shared" si="40"/>
        <v>IoU 50</v>
      </c>
    </row>
    <row r="95" spans="1:39" ht="15" x14ac:dyDescent="0.25">
      <c r="A95" s="11">
        <v>0.88036340718466577</v>
      </c>
      <c r="B95" s="11">
        <v>0.74879237820906464</v>
      </c>
      <c r="C95" s="11">
        <v>0.74719353928246202</v>
      </c>
      <c r="E95" s="11" t="str">
        <f t="shared" si="28"/>
        <v>IoU 100</v>
      </c>
      <c r="F95" s="11" t="str">
        <f t="shared" si="29"/>
        <v>IoU 75</v>
      </c>
      <c r="G95" s="11" t="str">
        <f t="shared" si="30"/>
        <v>IoU 75</v>
      </c>
      <c r="I95" s="11">
        <v>0.77656725372873714</v>
      </c>
      <c r="J95" s="11">
        <v>0.37278022446370224</v>
      </c>
      <c r="K95" s="11">
        <v>0.32552602626004001</v>
      </c>
      <c r="M95" s="11" t="str">
        <f t="shared" si="41"/>
        <v>IoU 100</v>
      </c>
      <c r="N95" s="11" t="str">
        <f t="shared" si="33"/>
        <v>IoU 50</v>
      </c>
      <c r="O95" s="11" t="str">
        <f t="shared" si="34"/>
        <v>IoU 50</v>
      </c>
      <c r="Q95" s="11">
        <v>0.43341432778819644</v>
      </c>
      <c r="R95" s="11">
        <v>0.57983372236034836</v>
      </c>
      <c r="S95" s="11">
        <v>0.43324741997376465</v>
      </c>
      <c r="U95" s="11" t="str">
        <f t="shared" si="44"/>
        <v>IoU 50</v>
      </c>
      <c r="V95" s="11" t="str">
        <f t="shared" si="35"/>
        <v>IoU 75</v>
      </c>
      <c r="W95" s="11" t="str">
        <f t="shared" si="36"/>
        <v>IoU 50</v>
      </c>
      <c r="Y95">
        <v>0.83013002309543804</v>
      </c>
      <c r="Z95">
        <v>0.41646919431279622</v>
      </c>
      <c r="AA95">
        <v>0.23115577889447236</v>
      </c>
      <c r="AC95" s="11" t="str">
        <f t="shared" si="43"/>
        <v>IoU 100</v>
      </c>
      <c r="AD95" s="11" t="str">
        <f t="shared" si="37"/>
        <v>IoU 50</v>
      </c>
      <c r="AE95" s="11" t="str">
        <f t="shared" si="38"/>
        <v>IoU 25</v>
      </c>
      <c r="AG95">
        <v>0.45299145299145299</v>
      </c>
      <c r="AH95">
        <v>0.35701618175874472</v>
      </c>
      <c r="AI95">
        <v>0.27304964539007093</v>
      </c>
      <c r="AK95" s="11" t="str">
        <f t="shared" si="32"/>
        <v>IoU 50</v>
      </c>
      <c r="AL95" s="11" t="str">
        <f t="shared" si="39"/>
        <v>IoU 50</v>
      </c>
      <c r="AM95" s="11" t="str">
        <f t="shared" si="40"/>
        <v>IoU 50</v>
      </c>
    </row>
    <row r="96" spans="1:39" ht="15" x14ac:dyDescent="0.25">
      <c r="A96" s="11">
        <v>0.55711850607004043</v>
      </c>
      <c r="B96" s="11">
        <v>0.67548561554521558</v>
      </c>
      <c r="C96" s="11">
        <v>0.56676892838219151</v>
      </c>
      <c r="E96" s="11" t="str">
        <f t="shared" si="28"/>
        <v>IoU 75</v>
      </c>
      <c r="F96" s="11" t="str">
        <f t="shared" si="29"/>
        <v>IoU 75</v>
      </c>
      <c r="G96" s="11" t="str">
        <f t="shared" si="30"/>
        <v>IoU 75</v>
      </c>
      <c r="I96" s="11">
        <v>0.81853971063868214</v>
      </c>
      <c r="J96" s="11">
        <v>0.68736673730301678</v>
      </c>
      <c r="K96" s="11">
        <v>0.4102742721417838</v>
      </c>
      <c r="M96" s="11" t="str">
        <f t="shared" si="41"/>
        <v>IoU 100</v>
      </c>
      <c r="N96" s="11" t="str">
        <f t="shared" si="33"/>
        <v>IoU 75</v>
      </c>
      <c r="O96" s="11" t="str">
        <f t="shared" si="34"/>
        <v>IoU 50</v>
      </c>
      <c r="Q96" s="11">
        <v>0.63315110441475886</v>
      </c>
      <c r="R96" s="11">
        <v>0.35955236293874493</v>
      </c>
      <c r="S96" s="11">
        <v>0.31622046816262483</v>
      </c>
      <c r="U96" s="11" t="str">
        <f t="shared" si="44"/>
        <v>IoU 75</v>
      </c>
      <c r="V96" s="11" t="str">
        <f t="shared" si="35"/>
        <v>IoU 50</v>
      </c>
      <c r="W96" s="11" t="str">
        <f t="shared" si="36"/>
        <v>IoU 50</v>
      </c>
      <c r="Y96">
        <v>0.83898767719604073</v>
      </c>
      <c r="Z96">
        <v>0.54292363761593077</v>
      </c>
      <c r="AA96">
        <v>0.30658174097664542</v>
      </c>
      <c r="AC96" s="11" t="str">
        <f t="shared" si="43"/>
        <v>IoU 100</v>
      </c>
      <c r="AD96" s="11" t="str">
        <f t="shared" si="37"/>
        <v>IoU 75</v>
      </c>
      <c r="AE96" s="11" t="str">
        <f t="shared" si="38"/>
        <v>IoU 50</v>
      </c>
      <c r="AG96">
        <v>0.41684577766713343</v>
      </c>
      <c r="AH96">
        <v>0.25113739763421294</v>
      </c>
      <c r="AI96">
        <v>0.19509090775228327</v>
      </c>
      <c r="AK96" s="11" t="str">
        <f t="shared" si="32"/>
        <v>IoU 50</v>
      </c>
      <c r="AL96" s="11" t="str">
        <f t="shared" si="39"/>
        <v>IoU 50</v>
      </c>
      <c r="AM96" s="11" t="str">
        <f t="shared" si="40"/>
        <v>IoU 25</v>
      </c>
    </row>
    <row r="97" spans="1:39" ht="15" x14ac:dyDescent="0.25">
      <c r="A97" s="11">
        <v>0.4599920149583866</v>
      </c>
      <c r="B97" s="11">
        <v>0.41104648211243966</v>
      </c>
      <c r="C97" s="11">
        <v>0.12886639093815197</v>
      </c>
      <c r="E97" s="11" t="str">
        <f t="shared" si="28"/>
        <v>IoU 50</v>
      </c>
      <c r="F97" s="11" t="str">
        <f t="shared" si="29"/>
        <v>IoU 50</v>
      </c>
      <c r="G97" s="11" t="str">
        <f t="shared" si="30"/>
        <v>IoU 25</v>
      </c>
      <c r="I97" s="11">
        <v>0.6368727059394329</v>
      </c>
      <c r="J97" s="11">
        <v>0.38437607032766297</v>
      </c>
      <c r="K97" s="11">
        <v>0.43332965071248442</v>
      </c>
      <c r="M97" s="11" t="str">
        <f t="shared" si="41"/>
        <v>IoU 75</v>
      </c>
      <c r="N97" s="11" t="str">
        <f t="shared" si="33"/>
        <v>IoU 50</v>
      </c>
      <c r="O97" s="11" t="str">
        <f t="shared" si="34"/>
        <v>IoU 50</v>
      </c>
      <c r="Q97" s="11">
        <v>0.84015277102072938</v>
      </c>
      <c r="R97" s="11">
        <v>0.60491889895280648</v>
      </c>
      <c r="S97" s="11">
        <v>0.76651823680390363</v>
      </c>
      <c r="U97" s="11" t="str">
        <f t="shared" si="44"/>
        <v>IoU 100</v>
      </c>
      <c r="V97" s="11" t="str">
        <f t="shared" si="35"/>
        <v>IoU 75</v>
      </c>
      <c r="W97" s="11" t="str">
        <f t="shared" si="36"/>
        <v>IoU 100</v>
      </c>
      <c r="Y97">
        <v>0.44260011607661054</v>
      </c>
      <c r="Z97">
        <v>0.47024650262245138</v>
      </c>
      <c r="AA97">
        <v>0.15452472905695744</v>
      </c>
      <c r="AC97" s="11" t="str">
        <f t="shared" si="43"/>
        <v>IoU 50</v>
      </c>
      <c r="AD97" s="11" t="str">
        <f t="shared" si="37"/>
        <v>IoU 50</v>
      </c>
      <c r="AE97" s="11" t="str">
        <f t="shared" si="38"/>
        <v>IoU 25</v>
      </c>
      <c r="AG97">
        <v>0.89518288433646043</v>
      </c>
      <c r="AH97">
        <v>0.43364647153012403</v>
      </c>
      <c r="AI97">
        <v>0.58713658265883439</v>
      </c>
      <c r="AK97" s="11" t="str">
        <f t="shared" si="32"/>
        <v>IoU 100</v>
      </c>
      <c r="AL97" s="11" t="str">
        <f t="shared" si="39"/>
        <v>IoU 50</v>
      </c>
      <c r="AM97" s="11" t="str">
        <f t="shared" si="40"/>
        <v>IoU 75</v>
      </c>
    </row>
    <row r="98" spans="1:39" ht="15" x14ac:dyDescent="0.25">
      <c r="A98" s="11">
        <v>0.77983231277971488</v>
      </c>
      <c r="B98" s="11">
        <v>0.76055190745920509</v>
      </c>
      <c r="C98" s="11">
        <v>0.53573033932852399</v>
      </c>
      <c r="E98" s="11" t="str">
        <f t="shared" si="28"/>
        <v>IoU 100</v>
      </c>
      <c r="F98" s="11" t="str">
        <f t="shared" si="29"/>
        <v>IoU 100</v>
      </c>
      <c r="G98" s="11" t="str">
        <f t="shared" si="30"/>
        <v>IoU 75</v>
      </c>
      <c r="I98" s="11">
        <v>0.53481377590774504</v>
      </c>
      <c r="J98" s="11">
        <v>0.70992547705354658</v>
      </c>
      <c r="K98" s="11">
        <v>0.36572503203089013</v>
      </c>
      <c r="M98" s="11" t="str">
        <f t="shared" si="41"/>
        <v>IoU 75</v>
      </c>
      <c r="N98" s="11" t="str">
        <f t="shared" si="33"/>
        <v>IoU 75</v>
      </c>
      <c r="O98" s="11" t="str">
        <f t="shared" si="34"/>
        <v>IoU 50</v>
      </c>
      <c r="Q98" s="11">
        <v>0.7526793567155089</v>
      </c>
      <c r="R98" s="11">
        <v>0.65236143036003769</v>
      </c>
      <c r="S98" s="11">
        <v>0.31672527187783184</v>
      </c>
      <c r="U98" s="11" t="str">
        <f t="shared" si="44"/>
        <v>IoU 100</v>
      </c>
      <c r="V98" s="11" t="str">
        <f t="shared" si="35"/>
        <v>IoU 75</v>
      </c>
      <c r="W98" s="11" t="str">
        <f t="shared" si="36"/>
        <v>IoU 50</v>
      </c>
      <c r="Y98">
        <v>0.53692499842946484</v>
      </c>
      <c r="Z98">
        <v>0.72787250843296192</v>
      </c>
      <c r="AA98">
        <v>0.42885952167193864</v>
      </c>
      <c r="AC98" s="11" t="str">
        <f t="shared" si="43"/>
        <v>IoU 75</v>
      </c>
      <c r="AD98" s="11" t="str">
        <f t="shared" si="37"/>
        <v>IoU 75</v>
      </c>
      <c r="AE98" s="11" t="str">
        <f t="shared" si="38"/>
        <v>IoU 50</v>
      </c>
      <c r="AG98">
        <v>0.89442650521358891</v>
      </c>
      <c r="AH98">
        <v>0.4887240520820757</v>
      </c>
      <c r="AI98">
        <v>0.36273600649201915</v>
      </c>
      <c r="AK98" s="11" t="str">
        <f t="shared" si="32"/>
        <v>IoU 100</v>
      </c>
      <c r="AL98" s="11" t="str">
        <f t="shared" si="39"/>
        <v>IoU 50</v>
      </c>
      <c r="AM98" s="11" t="str">
        <f t="shared" si="40"/>
        <v>IoU 50</v>
      </c>
    </row>
    <row r="99" spans="1:39" ht="15" x14ac:dyDescent="0.25">
      <c r="A99" s="11">
        <v>0.43328308685428152</v>
      </c>
      <c r="B99" s="11">
        <v>0.46118148463506997</v>
      </c>
      <c r="C99" s="11">
        <v>0.58304022420704782</v>
      </c>
      <c r="E99" s="11" t="str">
        <f t="shared" si="28"/>
        <v>IoU 50</v>
      </c>
      <c r="F99" s="11" t="str">
        <f t="shared" si="29"/>
        <v>IoU 50</v>
      </c>
      <c r="G99" s="11" t="str">
        <f t="shared" si="30"/>
        <v>IoU 75</v>
      </c>
      <c r="I99" s="11">
        <v>0.60530288899790841</v>
      </c>
      <c r="J99" s="11">
        <v>0.49222292972259396</v>
      </c>
      <c r="K99" s="11">
        <v>0.36320836110739679</v>
      </c>
      <c r="M99" s="11" t="str">
        <f t="shared" si="41"/>
        <v>IoU 75</v>
      </c>
      <c r="N99" s="11" t="str">
        <f t="shared" si="33"/>
        <v>IoU 50</v>
      </c>
      <c r="O99" s="11" t="str">
        <f t="shared" si="34"/>
        <v>IoU 50</v>
      </c>
      <c r="Q99" s="11">
        <v>0.89033313270482617</v>
      </c>
      <c r="R99" s="11">
        <v>0.76513304272283367</v>
      </c>
      <c r="S99" s="11">
        <v>0.5979335155029144</v>
      </c>
      <c r="U99" s="11" t="str">
        <f t="shared" si="44"/>
        <v>IoU 100</v>
      </c>
      <c r="V99" s="11" t="str">
        <f t="shared" si="35"/>
        <v>IoU 100</v>
      </c>
      <c r="W99" s="11" t="str">
        <f t="shared" si="36"/>
        <v>IoU 75</v>
      </c>
      <c r="Y99">
        <v>0.58425839546824876</v>
      </c>
      <c r="Z99">
        <v>0.54712615380198815</v>
      </c>
      <c r="AA99">
        <v>0.40827260345424993</v>
      </c>
      <c r="AC99" s="11" t="str">
        <f t="shared" si="43"/>
        <v>IoU 75</v>
      </c>
      <c r="AD99" s="11" t="str">
        <f t="shared" si="37"/>
        <v>IoU 75</v>
      </c>
      <c r="AE99" s="11" t="str">
        <f t="shared" si="38"/>
        <v>IoU 50</v>
      </c>
      <c r="AG99">
        <v>0.88273951769975012</v>
      </c>
      <c r="AH99">
        <v>0.68157751690417645</v>
      </c>
      <c r="AI99">
        <v>0.36994726276590761</v>
      </c>
      <c r="AK99" s="11" t="str">
        <f t="shared" si="32"/>
        <v>IoU 100</v>
      </c>
      <c r="AL99" s="11" t="str">
        <f t="shared" si="39"/>
        <v>IoU 75</v>
      </c>
      <c r="AM99" s="11" t="str">
        <f t="shared" si="40"/>
        <v>IoU 50</v>
      </c>
    </row>
    <row r="100" spans="1:39" ht="15" x14ac:dyDescent="0.25">
      <c r="A100" s="11">
        <v>0.79359324898126982</v>
      </c>
      <c r="B100" s="11">
        <v>0.76866256432258151</v>
      </c>
      <c r="C100" s="11">
        <v>0.72004307671193579</v>
      </c>
      <c r="E100" s="11" t="str">
        <f t="shared" si="28"/>
        <v>IoU 100</v>
      </c>
      <c r="F100" s="11" t="str">
        <f t="shared" si="29"/>
        <v>IoU 100</v>
      </c>
      <c r="G100" s="11" t="str">
        <f t="shared" si="30"/>
        <v>IoU 75</v>
      </c>
      <c r="I100" s="11">
        <v>0.58190400708904222</v>
      </c>
      <c r="J100" s="11">
        <v>0.36883378687570817</v>
      </c>
      <c r="K100" s="11">
        <v>0.34792352274824062</v>
      </c>
      <c r="M100" s="11" t="str">
        <f t="shared" si="41"/>
        <v>IoU 75</v>
      </c>
      <c r="N100" s="11" t="str">
        <f t="shared" si="33"/>
        <v>IoU 50</v>
      </c>
      <c r="O100" s="11" t="str">
        <f t="shared" si="34"/>
        <v>IoU 50</v>
      </c>
      <c r="Q100" s="11">
        <v>0.40261734345811678</v>
      </c>
      <c r="R100" s="11">
        <v>0.42665904067126953</v>
      </c>
      <c r="S100" s="11">
        <v>0.28275292619387676</v>
      </c>
      <c r="U100" s="11" t="str">
        <f t="shared" si="44"/>
        <v>IoU 50</v>
      </c>
      <c r="V100" s="11" t="str">
        <f t="shared" si="35"/>
        <v>IoU 50</v>
      </c>
      <c r="W100" s="11" t="str">
        <f t="shared" si="36"/>
        <v>IoU 50</v>
      </c>
      <c r="Y100">
        <v>0.86571444521817797</v>
      </c>
      <c r="Z100">
        <v>0.700067299921173</v>
      </c>
      <c r="AA100">
        <v>0.40327684042501172</v>
      </c>
      <c r="AC100" s="11" t="str">
        <f t="shared" si="43"/>
        <v>IoU 100</v>
      </c>
      <c r="AD100" s="11" t="str">
        <f t="shared" si="37"/>
        <v>IoU 75</v>
      </c>
      <c r="AE100" s="11" t="str">
        <f t="shared" si="38"/>
        <v>IoU 50</v>
      </c>
      <c r="AG100">
        <v>0.50686636748953251</v>
      </c>
      <c r="AH100">
        <v>0.40803687583739823</v>
      </c>
      <c r="AI100">
        <v>0.39050131926121373</v>
      </c>
      <c r="AK100" s="11" t="str">
        <f t="shared" si="32"/>
        <v>IoU 75</v>
      </c>
      <c r="AL100" s="11" t="str">
        <f t="shared" si="39"/>
        <v>IoU 50</v>
      </c>
      <c r="AM100" s="11" t="str">
        <f t="shared" si="40"/>
        <v>IoU 50</v>
      </c>
    </row>
    <row r="101" spans="1:39" ht="15" x14ac:dyDescent="0.25">
      <c r="A101" s="11">
        <v>0.82057667101586329</v>
      </c>
      <c r="B101" s="11">
        <v>0.66871410971706491</v>
      </c>
      <c r="C101" s="11">
        <v>0.64682924432082978</v>
      </c>
      <c r="E101" s="11" t="str">
        <f t="shared" si="28"/>
        <v>IoU 100</v>
      </c>
      <c r="F101" s="11" t="str">
        <f t="shared" si="29"/>
        <v>IoU 75</v>
      </c>
      <c r="G101" s="11" t="str">
        <f t="shared" si="30"/>
        <v>IoU 75</v>
      </c>
      <c r="I101" s="11">
        <v>0.85281209828513627</v>
      </c>
      <c r="J101" s="11">
        <v>0.69964204145140485</v>
      </c>
      <c r="K101" s="11">
        <v>0.73721277129427554</v>
      </c>
      <c r="M101" s="11" t="str">
        <f t="shared" si="41"/>
        <v>IoU 100</v>
      </c>
      <c r="N101" s="11" t="str">
        <f t="shared" si="33"/>
        <v>IoU 75</v>
      </c>
      <c r="O101" s="11" t="str">
        <f t="shared" si="34"/>
        <v>IoU 75</v>
      </c>
      <c r="Q101" s="11">
        <v>0.81137039262221777</v>
      </c>
      <c r="R101" s="11">
        <v>0.73820754486225537</v>
      </c>
      <c r="S101" s="11">
        <v>0.7272701860433991</v>
      </c>
      <c r="U101" s="11" t="str">
        <f t="shared" si="44"/>
        <v>IoU 100</v>
      </c>
      <c r="V101" s="11" t="str">
        <f t="shared" si="35"/>
        <v>IoU 75</v>
      </c>
      <c r="W101" s="11" t="str">
        <f t="shared" si="36"/>
        <v>IoU 75</v>
      </c>
      <c r="Y101">
        <v>0.47461976349323293</v>
      </c>
      <c r="Z101">
        <v>0.3185087055261166</v>
      </c>
      <c r="AA101">
        <v>0.26968688604488317</v>
      </c>
      <c r="AC101" s="11" t="str">
        <f t="shared" si="43"/>
        <v>IoU 50</v>
      </c>
      <c r="AD101" s="11" t="str">
        <f t="shared" si="37"/>
        <v>IoU 50</v>
      </c>
      <c r="AE101" s="11" t="str">
        <f t="shared" si="38"/>
        <v>IoU 50</v>
      </c>
      <c r="AG101">
        <v>0.37221354083617691</v>
      </c>
      <c r="AH101">
        <v>0.32021874525292421</v>
      </c>
      <c r="AI101">
        <v>0.24910918172765778</v>
      </c>
      <c r="AK101" s="11" t="str">
        <f t="shared" si="32"/>
        <v>IoU 50</v>
      </c>
      <c r="AL101" s="11" t="str">
        <f t="shared" si="39"/>
        <v>IoU 50</v>
      </c>
      <c r="AM101" s="11" t="str">
        <f t="shared" si="40"/>
        <v>IoU 25</v>
      </c>
    </row>
    <row r="102" spans="1:39" ht="15" x14ac:dyDescent="0.25">
      <c r="A102" s="11">
        <v>0.84930961363851432</v>
      </c>
      <c r="B102" s="11">
        <v>0.82527589516092326</v>
      </c>
      <c r="C102" s="11">
        <v>0.65676876191412248</v>
      </c>
      <c r="E102" s="11" t="str">
        <f t="shared" si="28"/>
        <v>IoU 100</v>
      </c>
      <c r="F102" s="11" t="str">
        <f t="shared" si="29"/>
        <v>IoU 100</v>
      </c>
      <c r="G102" s="11" t="str">
        <f t="shared" si="30"/>
        <v>IoU 75</v>
      </c>
      <c r="I102" s="11">
        <v>0.7983642851138133</v>
      </c>
      <c r="J102" s="11">
        <v>0.44238405646505058</v>
      </c>
      <c r="K102" s="11">
        <v>0.39368569471296533</v>
      </c>
      <c r="M102" s="11" t="str">
        <f t="shared" si="41"/>
        <v>IoU 100</v>
      </c>
      <c r="N102" s="11" t="str">
        <f t="shared" si="33"/>
        <v>IoU 50</v>
      </c>
      <c r="O102" s="11" t="str">
        <f t="shared" si="34"/>
        <v>IoU 50</v>
      </c>
      <c r="Q102" s="11">
        <v>0.84641001351005318</v>
      </c>
      <c r="R102" s="11">
        <v>0.78397969939110623</v>
      </c>
      <c r="S102" s="11">
        <v>0.72664065864540373</v>
      </c>
      <c r="U102" s="11" t="str">
        <f t="shared" si="44"/>
        <v>IoU 100</v>
      </c>
      <c r="V102" s="11" t="str">
        <f t="shared" si="35"/>
        <v>IoU 100</v>
      </c>
      <c r="W102" s="11" t="str">
        <f t="shared" si="36"/>
        <v>IoU 75</v>
      </c>
      <c r="Y102">
        <v>0.70962055805070268</v>
      </c>
      <c r="Z102">
        <v>0.41519059679006587</v>
      </c>
      <c r="AA102">
        <v>0.1917087967644085</v>
      </c>
      <c r="AC102" s="11" t="str">
        <f t="shared" si="43"/>
        <v>IoU 75</v>
      </c>
      <c r="AD102" s="11" t="str">
        <f t="shared" si="37"/>
        <v>IoU 50</v>
      </c>
      <c r="AE102" s="11" t="str">
        <f t="shared" si="38"/>
        <v>IoU 25</v>
      </c>
      <c r="AG102">
        <v>0.85847115740076418</v>
      </c>
      <c r="AH102">
        <v>0.4101177410768998</v>
      </c>
      <c r="AI102">
        <v>0.54238789816968913</v>
      </c>
      <c r="AK102" s="11" t="str">
        <f t="shared" si="32"/>
        <v>IoU 100</v>
      </c>
      <c r="AL102" s="11" t="str">
        <f t="shared" si="39"/>
        <v>IoU 50</v>
      </c>
      <c r="AM102" s="11" t="str">
        <f t="shared" si="40"/>
        <v>IoU 75</v>
      </c>
    </row>
    <row r="103" spans="1:39" ht="15" x14ac:dyDescent="0.25">
      <c r="A103" s="11">
        <v>0.80208778822086302</v>
      </c>
      <c r="B103" s="11">
        <v>0.72553167174606781</v>
      </c>
      <c r="C103" s="11">
        <v>0.7450165615302109</v>
      </c>
      <c r="E103" s="11" t="str">
        <f t="shared" si="28"/>
        <v>IoU 100</v>
      </c>
      <c r="F103" s="11" t="str">
        <f t="shared" si="29"/>
        <v>IoU 75</v>
      </c>
      <c r="G103" s="11" t="str">
        <f t="shared" si="30"/>
        <v>IoU 75</v>
      </c>
      <c r="I103" s="11">
        <v>0.71099123291999833</v>
      </c>
      <c r="J103" s="11">
        <v>0.58596951490103866</v>
      </c>
      <c r="K103" s="11">
        <v>0.33864487248761588</v>
      </c>
      <c r="M103" s="11" t="str">
        <f t="shared" si="41"/>
        <v>IoU 75</v>
      </c>
      <c r="N103" s="11" t="str">
        <f t="shared" si="33"/>
        <v>IoU 75</v>
      </c>
      <c r="O103" s="11" t="str">
        <f t="shared" si="34"/>
        <v>IoU 50</v>
      </c>
      <c r="Q103" s="11">
        <v>0.36852540013559321</v>
      </c>
      <c r="R103" s="11">
        <v>0.40682438001922028</v>
      </c>
      <c r="S103" s="11">
        <v>0.42049769404578485</v>
      </c>
      <c r="U103" s="11" t="str">
        <f t="shared" si="44"/>
        <v>IoU 50</v>
      </c>
      <c r="V103" s="11" t="str">
        <f t="shared" si="35"/>
        <v>IoU 50</v>
      </c>
      <c r="W103" s="11" t="str">
        <f t="shared" si="36"/>
        <v>IoU 50</v>
      </c>
      <c r="Y103"/>
      <c r="Z103"/>
      <c r="AA103"/>
      <c r="AG103">
        <v>0.61873208368569377</v>
      </c>
      <c r="AH103">
        <v>0.40851449275362317</v>
      </c>
      <c r="AI103">
        <v>0.29433508932803598</v>
      </c>
      <c r="AK103" s="11" t="str">
        <f t="shared" si="32"/>
        <v>IoU 75</v>
      </c>
      <c r="AL103" s="11" t="str">
        <f t="shared" si="39"/>
        <v>IoU 50</v>
      </c>
      <c r="AM103" s="11" t="str">
        <f t="shared" si="40"/>
        <v>IoU 50</v>
      </c>
    </row>
    <row r="104" spans="1:39" ht="15" x14ac:dyDescent="0.25">
      <c r="A104" s="11">
        <v>0.58855896047359113</v>
      </c>
      <c r="B104" s="11">
        <v>0.4637706290296626</v>
      </c>
      <c r="C104" s="11">
        <v>0.42273553630627742</v>
      </c>
      <c r="E104" s="11" t="str">
        <f t="shared" si="28"/>
        <v>IoU 75</v>
      </c>
      <c r="F104" s="11" t="str">
        <f t="shared" si="29"/>
        <v>IoU 50</v>
      </c>
      <c r="G104" s="11" t="str">
        <f t="shared" si="30"/>
        <v>IoU 50</v>
      </c>
      <c r="I104" s="11">
        <v>0.45532753671014425</v>
      </c>
      <c r="J104" s="11">
        <v>0.52659572708386515</v>
      </c>
      <c r="K104" s="11">
        <v>0.72544156018599437</v>
      </c>
      <c r="M104" s="11" t="str">
        <f t="shared" si="41"/>
        <v>IoU 50</v>
      </c>
      <c r="N104" s="11" t="str">
        <f t="shared" si="33"/>
        <v>IoU 75</v>
      </c>
      <c r="O104" s="11" t="str">
        <f t="shared" si="34"/>
        <v>IoU 75</v>
      </c>
      <c r="Q104" s="11">
        <v>0.88179223171601318</v>
      </c>
      <c r="R104" s="11">
        <v>0.70970738835489688</v>
      </c>
      <c r="S104" s="11">
        <v>0.58156325572988832</v>
      </c>
      <c r="U104" s="11" t="str">
        <f t="shared" si="44"/>
        <v>IoU 100</v>
      </c>
      <c r="V104" s="11" t="str">
        <f t="shared" si="35"/>
        <v>IoU 75</v>
      </c>
      <c r="W104" s="11" t="str">
        <f t="shared" si="36"/>
        <v>IoU 75</v>
      </c>
      <c r="Y104">
        <v>0</v>
      </c>
      <c r="Z104">
        <v>1.2102766298287309E-2</v>
      </c>
      <c r="AA104">
        <v>1.2404608625548404E-2</v>
      </c>
      <c r="AC104" s="11" t="str">
        <f t="shared" ref="AC104:AC116" si="45">VLOOKUP(Y104,IoU_Thresholds,2,TRUE)</f>
        <v>IoU 25</v>
      </c>
      <c r="AD104" s="11" t="str">
        <f t="shared" si="37"/>
        <v>IoU 25</v>
      </c>
      <c r="AE104" s="11" t="str">
        <f t="shared" si="38"/>
        <v>IoU 25</v>
      </c>
      <c r="AG104">
        <v>0.44387484532437688</v>
      </c>
      <c r="AH104">
        <v>0.38813652052303182</v>
      </c>
      <c r="AI104">
        <v>0.17160598362969234</v>
      </c>
      <c r="AK104" s="11" t="str">
        <f t="shared" si="32"/>
        <v>IoU 50</v>
      </c>
      <c r="AL104" s="11" t="str">
        <f t="shared" si="39"/>
        <v>IoU 50</v>
      </c>
      <c r="AM104" s="11" t="str">
        <f t="shared" si="40"/>
        <v>IoU 25</v>
      </c>
    </row>
    <row r="105" spans="1:39" ht="15" x14ac:dyDescent="0.25">
      <c r="A105" s="11">
        <v>0.88204419500578679</v>
      </c>
      <c r="B105" s="11">
        <v>0.74389996931142188</v>
      </c>
      <c r="C105" s="11">
        <v>0.74361089760680055</v>
      </c>
      <c r="E105" s="11" t="str">
        <f t="shared" si="28"/>
        <v>IoU 100</v>
      </c>
      <c r="F105" s="11" t="str">
        <f t="shared" si="29"/>
        <v>IoU 75</v>
      </c>
      <c r="G105" s="11" t="str">
        <f t="shared" si="30"/>
        <v>IoU 75</v>
      </c>
      <c r="I105" s="11">
        <v>0.71718693940473754</v>
      </c>
      <c r="J105" s="11">
        <v>0.5633542444083216</v>
      </c>
      <c r="K105" s="11">
        <v>0.25066660226999654</v>
      </c>
      <c r="M105" s="11" t="str">
        <f t="shared" si="41"/>
        <v>IoU 75</v>
      </c>
      <c r="N105" s="11" t="str">
        <f t="shared" si="33"/>
        <v>IoU 75</v>
      </c>
      <c r="O105" s="11" t="str">
        <f t="shared" si="34"/>
        <v>IoU 50</v>
      </c>
      <c r="Q105" s="11">
        <v>0.87569833646246686</v>
      </c>
      <c r="R105" s="11">
        <v>0.68485621673995367</v>
      </c>
      <c r="S105" s="11">
        <v>0.73508141437242569</v>
      </c>
      <c r="U105" s="11" t="str">
        <f t="shared" si="44"/>
        <v>IoU 100</v>
      </c>
      <c r="V105" s="11" t="str">
        <f t="shared" si="35"/>
        <v>IoU 75</v>
      </c>
      <c r="W105" s="11" t="str">
        <f t="shared" si="36"/>
        <v>IoU 75</v>
      </c>
      <c r="Y105">
        <v>0.83030435780793788</v>
      </c>
      <c r="Z105">
        <v>0.34840111202107993</v>
      </c>
      <c r="AA105">
        <v>0.3235838578304332</v>
      </c>
      <c r="AC105" s="11" t="str">
        <f t="shared" si="45"/>
        <v>IoU 100</v>
      </c>
      <c r="AD105" s="11" t="str">
        <f t="shared" si="37"/>
        <v>IoU 50</v>
      </c>
      <c r="AE105" s="11" t="str">
        <f t="shared" si="38"/>
        <v>IoU 50</v>
      </c>
      <c r="AG105">
        <v>0.76531579555046836</v>
      </c>
      <c r="AH105">
        <v>0.40659340659340659</v>
      </c>
      <c r="AI105">
        <v>0.25617349361289521</v>
      </c>
      <c r="AK105" s="11" t="str">
        <f t="shared" si="32"/>
        <v>IoU 100</v>
      </c>
      <c r="AL105" s="11" t="str">
        <f t="shared" si="39"/>
        <v>IoU 50</v>
      </c>
      <c r="AM105" s="11" t="str">
        <f t="shared" si="40"/>
        <v>IoU 50</v>
      </c>
    </row>
    <row r="106" spans="1:39" ht="15" x14ac:dyDescent="0.25">
      <c r="A106" s="11">
        <v>0.76199235739299231</v>
      </c>
      <c r="B106" s="11">
        <v>0.6285564203950722</v>
      </c>
      <c r="C106" s="11">
        <v>0.40268581769352685</v>
      </c>
      <c r="E106" s="11" t="str">
        <f t="shared" si="28"/>
        <v>IoU 100</v>
      </c>
      <c r="F106" s="11" t="str">
        <f t="shared" si="29"/>
        <v>IoU 75</v>
      </c>
      <c r="G106" s="11" t="str">
        <f t="shared" si="30"/>
        <v>IoU 50</v>
      </c>
      <c r="I106" s="11">
        <v>0.78622247379160282</v>
      </c>
      <c r="J106" s="11">
        <v>0.770543769848548</v>
      </c>
      <c r="K106" s="11">
        <v>0.68917030007554503</v>
      </c>
      <c r="M106" s="11" t="str">
        <f t="shared" ref="M106:M137" si="46">VLOOKUP(I106,IoU_Thresholds,2,TRUE)</f>
        <v>IoU 100</v>
      </c>
      <c r="N106" s="11" t="str">
        <f t="shared" si="33"/>
        <v>IoU 100</v>
      </c>
      <c r="O106" s="11" t="str">
        <f t="shared" si="34"/>
        <v>IoU 75</v>
      </c>
      <c r="Q106" s="11">
        <v>0.91878319055718971</v>
      </c>
      <c r="R106" s="11">
        <v>0.57538207184729218</v>
      </c>
      <c r="S106" s="11">
        <v>0.6257994864803178</v>
      </c>
      <c r="U106" s="11" t="str">
        <f t="shared" si="44"/>
        <v>IoU 100</v>
      </c>
      <c r="V106" s="11" t="str">
        <f t="shared" si="35"/>
        <v>IoU 75</v>
      </c>
      <c r="W106" s="11" t="str">
        <f t="shared" si="36"/>
        <v>IoU 75</v>
      </c>
      <c r="Y106">
        <v>0.54099684744744991</v>
      </c>
      <c r="Z106">
        <v>0.53924682002771229</v>
      </c>
      <c r="AA106">
        <v>0.31459904043865661</v>
      </c>
      <c r="AC106" s="11" t="str">
        <f t="shared" si="45"/>
        <v>IoU 75</v>
      </c>
      <c r="AD106" s="11" t="str">
        <f t="shared" si="37"/>
        <v>IoU 75</v>
      </c>
      <c r="AE106" s="11" t="str">
        <f t="shared" si="38"/>
        <v>IoU 50</v>
      </c>
      <c r="AG106">
        <v>0.84489657272965879</v>
      </c>
      <c r="AH106">
        <v>0.59738082699211059</v>
      </c>
      <c r="AI106">
        <v>0.49613404090370672</v>
      </c>
      <c r="AK106" s="11" t="str">
        <f t="shared" si="32"/>
        <v>IoU 100</v>
      </c>
      <c r="AL106" s="11" t="str">
        <f t="shared" si="39"/>
        <v>IoU 75</v>
      </c>
      <c r="AM106" s="11" t="str">
        <f t="shared" si="40"/>
        <v>IoU 50</v>
      </c>
    </row>
    <row r="107" spans="1:39" ht="15" x14ac:dyDescent="0.25">
      <c r="A107" s="11">
        <v>0.41988049378392578</v>
      </c>
      <c r="B107" s="11">
        <v>0.21501043390659855</v>
      </c>
      <c r="C107" s="11">
        <v>0.38390641616448068</v>
      </c>
      <c r="E107" s="11" t="str">
        <f t="shared" si="28"/>
        <v>IoU 50</v>
      </c>
      <c r="F107" s="11" t="str">
        <f t="shared" si="29"/>
        <v>IoU 25</v>
      </c>
      <c r="G107" s="11" t="str">
        <f t="shared" si="30"/>
        <v>IoU 50</v>
      </c>
      <c r="I107" s="11">
        <v>0.68521606384647815</v>
      </c>
      <c r="J107" s="11">
        <v>0.37366548042704628</v>
      </c>
      <c r="K107" s="11">
        <v>0.34296482412060303</v>
      </c>
      <c r="M107" s="11" t="str">
        <f t="shared" si="46"/>
        <v>IoU 75</v>
      </c>
      <c r="N107" s="11" t="str">
        <f t="shared" si="33"/>
        <v>IoU 50</v>
      </c>
      <c r="O107" s="11" t="str">
        <f t="shared" si="34"/>
        <v>IoU 50</v>
      </c>
      <c r="Q107" s="11">
        <v>0.84955504501028045</v>
      </c>
      <c r="R107" s="11">
        <v>0.75301847117317555</v>
      </c>
      <c r="S107" s="11">
        <v>0.79763148946110385</v>
      </c>
      <c r="U107" s="11" t="str">
        <f t="shared" si="44"/>
        <v>IoU 100</v>
      </c>
      <c r="V107" s="11" t="str">
        <f t="shared" si="35"/>
        <v>IoU 100</v>
      </c>
      <c r="W107" s="11" t="str">
        <f t="shared" si="36"/>
        <v>IoU 100</v>
      </c>
      <c r="Y107">
        <v>0.54581892119835207</v>
      </c>
      <c r="Z107">
        <v>0.52948600872241036</v>
      </c>
      <c r="AA107">
        <v>0.37356121381234741</v>
      </c>
      <c r="AC107" s="11" t="str">
        <f t="shared" si="45"/>
        <v>IoU 75</v>
      </c>
      <c r="AD107" s="11" t="str">
        <f t="shared" si="37"/>
        <v>IoU 75</v>
      </c>
      <c r="AE107" s="11" t="str">
        <f t="shared" si="38"/>
        <v>IoU 50</v>
      </c>
      <c r="AG107">
        <v>0.82691259370953363</v>
      </c>
      <c r="AH107">
        <v>0.69342727299934492</v>
      </c>
      <c r="AI107">
        <v>0.72751596673459695</v>
      </c>
      <c r="AK107" s="11" t="str">
        <f t="shared" si="32"/>
        <v>IoU 100</v>
      </c>
      <c r="AL107" s="11" t="str">
        <f t="shared" si="39"/>
        <v>IoU 75</v>
      </c>
      <c r="AM107" s="11" t="str">
        <f t="shared" si="40"/>
        <v>IoU 75</v>
      </c>
    </row>
    <row r="108" spans="1:39" ht="15" x14ac:dyDescent="0.25">
      <c r="A108" s="11">
        <v>0.81543690487199916</v>
      </c>
      <c r="B108" s="11">
        <v>0.34316610974223488</v>
      </c>
      <c r="C108" s="11">
        <v>0.65539318597733809</v>
      </c>
      <c r="E108" s="11" t="str">
        <f t="shared" si="28"/>
        <v>IoU 100</v>
      </c>
      <c r="F108" s="11" t="str">
        <f t="shared" si="29"/>
        <v>IoU 50</v>
      </c>
      <c r="G108" s="11" t="str">
        <f t="shared" si="30"/>
        <v>IoU 75</v>
      </c>
      <c r="I108" s="11">
        <v>0.42160553492394565</v>
      </c>
      <c r="J108" s="11">
        <v>0.44363952559025888</v>
      </c>
      <c r="K108" s="11">
        <v>0.37055124790450006</v>
      </c>
      <c r="M108" s="11" t="str">
        <f t="shared" si="46"/>
        <v>IoU 50</v>
      </c>
      <c r="N108" s="11" t="str">
        <f t="shared" si="33"/>
        <v>IoU 50</v>
      </c>
      <c r="O108" s="11" t="str">
        <f t="shared" si="34"/>
        <v>IoU 50</v>
      </c>
      <c r="Q108" s="11">
        <v>0.89527638228922979</v>
      </c>
      <c r="R108" s="11">
        <v>0.58842118440148095</v>
      </c>
      <c r="S108" s="11">
        <v>0.74127912270070118</v>
      </c>
      <c r="U108" s="11" t="str">
        <f t="shared" si="44"/>
        <v>IoU 100</v>
      </c>
      <c r="V108" s="11" t="str">
        <f t="shared" si="35"/>
        <v>IoU 75</v>
      </c>
      <c r="W108" s="11" t="str">
        <f t="shared" si="36"/>
        <v>IoU 75</v>
      </c>
      <c r="Y108">
        <v>0.87255517217320566</v>
      </c>
      <c r="Z108">
        <v>0.74788574367780092</v>
      </c>
      <c r="AA108">
        <v>0.50950010718337768</v>
      </c>
      <c r="AC108" s="11" t="str">
        <f t="shared" si="45"/>
        <v>IoU 100</v>
      </c>
      <c r="AD108" s="11" t="str">
        <f t="shared" si="37"/>
        <v>IoU 75</v>
      </c>
      <c r="AE108" s="11" t="str">
        <f t="shared" si="38"/>
        <v>IoU 75</v>
      </c>
      <c r="AG108">
        <v>0.81937969654648923</v>
      </c>
      <c r="AH108">
        <v>0.73022445903584887</v>
      </c>
      <c r="AI108">
        <v>0.54643196851596754</v>
      </c>
      <c r="AK108" s="11" t="str">
        <f t="shared" si="32"/>
        <v>IoU 100</v>
      </c>
      <c r="AL108" s="11" t="str">
        <f t="shared" si="39"/>
        <v>IoU 75</v>
      </c>
      <c r="AM108" s="11" t="str">
        <f t="shared" si="40"/>
        <v>IoU 75</v>
      </c>
    </row>
    <row r="109" spans="1:39" ht="15" x14ac:dyDescent="0.25">
      <c r="A109" s="11">
        <v>0.50326385557439013</v>
      </c>
      <c r="B109" s="11">
        <v>0.48510762028796922</v>
      </c>
      <c r="C109" s="11">
        <v>0.35956127801621363</v>
      </c>
      <c r="E109" s="11" t="str">
        <f t="shared" si="28"/>
        <v>IoU 75</v>
      </c>
      <c r="F109" s="11" t="str">
        <f t="shared" si="29"/>
        <v>IoU 50</v>
      </c>
      <c r="G109" s="11" t="str">
        <f t="shared" si="30"/>
        <v>IoU 50</v>
      </c>
      <c r="I109" s="11">
        <v>0.78798373628077389</v>
      </c>
      <c r="J109" s="11">
        <v>0.78245894938447325</v>
      </c>
      <c r="K109" s="11">
        <v>0.78710572083865282</v>
      </c>
      <c r="M109" s="11" t="str">
        <f t="shared" si="46"/>
        <v>IoU 100</v>
      </c>
      <c r="N109" s="11" t="str">
        <f t="shared" si="33"/>
        <v>IoU 100</v>
      </c>
      <c r="O109" s="11" t="str">
        <f t="shared" si="34"/>
        <v>IoU 100</v>
      </c>
      <c r="Q109" s="11">
        <v>0.83527065378720833</v>
      </c>
      <c r="R109" s="11">
        <v>0.75124951642149496</v>
      </c>
      <c r="S109" s="11">
        <v>0.71571635427761127</v>
      </c>
      <c r="U109" s="11" t="str">
        <f t="shared" si="44"/>
        <v>IoU 100</v>
      </c>
      <c r="V109" s="11" t="str">
        <f t="shared" si="35"/>
        <v>IoU 100</v>
      </c>
      <c r="W109" s="11" t="str">
        <f t="shared" si="36"/>
        <v>IoU 75</v>
      </c>
      <c r="Y109">
        <v>0.68147642550969489</v>
      </c>
      <c r="Z109">
        <v>2.5562626503126385E-3</v>
      </c>
      <c r="AA109">
        <v>0</v>
      </c>
      <c r="AC109" s="11" t="str">
        <f t="shared" si="45"/>
        <v>IoU 75</v>
      </c>
      <c r="AD109" s="11" t="str">
        <f t="shared" si="37"/>
        <v>IoU 25</v>
      </c>
      <c r="AE109" s="11" t="str">
        <f t="shared" si="38"/>
        <v>IoU 25</v>
      </c>
      <c r="AG109">
        <v>0.90449747114290358</v>
      </c>
      <c r="AH109">
        <v>0.62550250183519962</v>
      </c>
      <c r="AI109">
        <v>0.42303229304430223</v>
      </c>
      <c r="AK109" s="11" t="str">
        <f t="shared" si="32"/>
        <v>IoU 100</v>
      </c>
      <c r="AL109" s="11" t="str">
        <f t="shared" si="39"/>
        <v>IoU 75</v>
      </c>
      <c r="AM109" s="11" t="str">
        <f t="shared" si="40"/>
        <v>IoU 50</v>
      </c>
    </row>
    <row r="110" spans="1:39" ht="15" x14ac:dyDescent="0.25">
      <c r="A110" s="11">
        <v>0.58378361877279272</v>
      </c>
      <c r="B110" s="11">
        <v>0.36999059266227657</v>
      </c>
      <c r="C110" s="11">
        <v>0.35936227970464718</v>
      </c>
      <c r="E110" s="11" t="str">
        <f t="shared" si="28"/>
        <v>IoU 75</v>
      </c>
      <c r="F110" s="11" t="str">
        <f t="shared" si="29"/>
        <v>IoU 50</v>
      </c>
      <c r="G110" s="11" t="str">
        <f t="shared" si="30"/>
        <v>IoU 50</v>
      </c>
      <c r="I110" s="11">
        <v>0.52594071979331591</v>
      </c>
      <c r="J110" s="11">
        <v>0.50622632516237853</v>
      </c>
      <c r="K110" s="11">
        <v>0.40766175863354498</v>
      </c>
      <c r="M110" s="11" t="str">
        <f t="shared" si="46"/>
        <v>IoU 75</v>
      </c>
      <c r="N110" s="11" t="str">
        <f t="shared" si="33"/>
        <v>IoU 75</v>
      </c>
      <c r="O110" s="11" t="str">
        <f t="shared" si="34"/>
        <v>IoU 50</v>
      </c>
      <c r="Q110" s="11">
        <v>0.86236624935066875</v>
      </c>
      <c r="R110" s="11">
        <v>0.74682753851171646</v>
      </c>
      <c r="S110" s="11">
        <v>0.65416549554348613</v>
      </c>
      <c r="U110" s="11" t="str">
        <f t="shared" si="44"/>
        <v>IoU 100</v>
      </c>
      <c r="V110" s="11" t="str">
        <f t="shared" si="35"/>
        <v>IoU 75</v>
      </c>
      <c r="W110" s="11" t="str">
        <f t="shared" si="36"/>
        <v>IoU 75</v>
      </c>
      <c r="Y110">
        <v>0.74506744212836495</v>
      </c>
      <c r="Z110">
        <v>0.56961481113944701</v>
      </c>
      <c r="AA110">
        <v>0.21570796460176991</v>
      </c>
      <c r="AC110" s="11" t="str">
        <f t="shared" si="45"/>
        <v>IoU 75</v>
      </c>
      <c r="AD110" s="11" t="str">
        <f t="shared" si="37"/>
        <v>IoU 75</v>
      </c>
      <c r="AE110" s="11" t="str">
        <f t="shared" si="38"/>
        <v>IoU 25</v>
      </c>
      <c r="AG110">
        <v>0.87134469856157493</v>
      </c>
      <c r="AH110">
        <v>0.57681402490571809</v>
      </c>
      <c r="AI110">
        <v>0.66377594451816435</v>
      </c>
      <c r="AK110" s="11" t="str">
        <f t="shared" si="32"/>
        <v>IoU 100</v>
      </c>
      <c r="AL110" s="11" t="str">
        <f t="shared" si="39"/>
        <v>IoU 75</v>
      </c>
      <c r="AM110" s="11" t="str">
        <f t="shared" si="40"/>
        <v>IoU 75</v>
      </c>
    </row>
    <row r="111" spans="1:39" ht="15" x14ac:dyDescent="0.25">
      <c r="A111" s="11">
        <v>0.8626545641597092</v>
      </c>
      <c r="B111" s="11">
        <v>0.37759929585212892</v>
      </c>
      <c r="C111" s="11">
        <v>0.31135390359064458</v>
      </c>
      <c r="E111" s="11" t="str">
        <f t="shared" si="28"/>
        <v>IoU 100</v>
      </c>
      <c r="F111" s="11" t="str">
        <f t="shared" si="29"/>
        <v>IoU 50</v>
      </c>
      <c r="G111" s="11" t="str">
        <f t="shared" si="30"/>
        <v>IoU 50</v>
      </c>
      <c r="I111" s="11">
        <v>0.50157352261866683</v>
      </c>
      <c r="J111" s="11">
        <v>0.43074550456937921</v>
      </c>
      <c r="K111" s="11">
        <v>0.29347368421052633</v>
      </c>
      <c r="M111" s="11" t="str">
        <f t="shared" si="46"/>
        <v>IoU 75</v>
      </c>
      <c r="N111" s="11" t="str">
        <f t="shared" si="33"/>
        <v>IoU 50</v>
      </c>
      <c r="O111" s="11" t="str">
        <f t="shared" si="34"/>
        <v>IoU 50</v>
      </c>
      <c r="Q111" s="11">
        <v>0.55729833951293106</v>
      </c>
      <c r="R111" s="11">
        <v>0.37671905697445973</v>
      </c>
      <c r="S111" s="11">
        <v>0.43371221854852987</v>
      </c>
      <c r="U111" s="11" t="str">
        <f t="shared" si="44"/>
        <v>IoU 75</v>
      </c>
      <c r="V111" s="11" t="str">
        <f t="shared" si="35"/>
        <v>IoU 50</v>
      </c>
      <c r="W111" s="11" t="str">
        <f t="shared" si="36"/>
        <v>IoU 50</v>
      </c>
      <c r="Y111">
        <v>3.1503856918560995E-2</v>
      </c>
      <c r="Z111">
        <v>0.11375905172308598</v>
      </c>
      <c r="AA111">
        <v>0</v>
      </c>
      <c r="AC111" s="11" t="str">
        <f t="shared" si="45"/>
        <v>IoU 25</v>
      </c>
      <c r="AD111" s="11" t="str">
        <f t="shared" si="37"/>
        <v>IoU 25</v>
      </c>
      <c r="AE111" s="11" t="str">
        <f t="shared" si="38"/>
        <v>IoU 25</v>
      </c>
      <c r="AG111">
        <v>0.88347717168262041</v>
      </c>
      <c r="AH111">
        <v>0.36937636077518377</v>
      </c>
      <c r="AI111">
        <v>0.20074946466809421</v>
      </c>
      <c r="AK111" s="11" t="str">
        <f t="shared" si="32"/>
        <v>IoU 100</v>
      </c>
      <c r="AL111" s="11" t="str">
        <f t="shared" si="39"/>
        <v>IoU 50</v>
      </c>
      <c r="AM111" s="11" t="str">
        <f t="shared" si="40"/>
        <v>IoU 25</v>
      </c>
    </row>
    <row r="112" spans="1:39" ht="15" x14ac:dyDescent="0.25">
      <c r="A112" s="11">
        <v>0.38455878242031016</v>
      </c>
      <c r="B112" s="11">
        <v>0.52496582524100877</v>
      </c>
      <c r="C112" s="11">
        <v>0.28769145446445021</v>
      </c>
      <c r="E112" s="11" t="str">
        <f t="shared" si="28"/>
        <v>IoU 50</v>
      </c>
      <c r="F112" s="11" t="str">
        <f t="shared" si="29"/>
        <v>IoU 75</v>
      </c>
      <c r="G112" s="11" t="str">
        <f t="shared" si="30"/>
        <v>IoU 50</v>
      </c>
      <c r="I112" s="11">
        <v>0.86674525722300766</v>
      </c>
      <c r="J112" s="11">
        <v>0.82754992919160075</v>
      </c>
      <c r="K112" s="11">
        <v>0.67989632075783857</v>
      </c>
      <c r="M112" s="11" t="str">
        <f t="shared" si="46"/>
        <v>IoU 100</v>
      </c>
      <c r="N112" s="11" t="str">
        <f t="shared" si="33"/>
        <v>IoU 100</v>
      </c>
      <c r="O112" s="11" t="str">
        <f t="shared" si="34"/>
        <v>IoU 75</v>
      </c>
      <c r="Q112" s="11">
        <v>0.85783481802083716</v>
      </c>
      <c r="R112" s="11">
        <v>0.72925742628386159</v>
      </c>
      <c r="S112" s="11">
        <v>0.56872986569144746</v>
      </c>
      <c r="U112" s="11" t="str">
        <f t="shared" si="44"/>
        <v>IoU 100</v>
      </c>
      <c r="V112" s="11" t="str">
        <f t="shared" si="35"/>
        <v>IoU 75</v>
      </c>
      <c r="W112" s="11" t="str">
        <f t="shared" si="36"/>
        <v>IoU 75</v>
      </c>
      <c r="Y112">
        <v>0.60460843516876683</v>
      </c>
      <c r="Z112">
        <v>0.45774814147658183</v>
      </c>
      <c r="AA112">
        <v>0.19518377693282637</v>
      </c>
      <c r="AC112" s="11" t="str">
        <f t="shared" si="45"/>
        <v>IoU 75</v>
      </c>
      <c r="AD112" s="11" t="str">
        <f t="shared" si="37"/>
        <v>IoU 50</v>
      </c>
      <c r="AE112" s="11" t="str">
        <f t="shared" si="38"/>
        <v>IoU 25</v>
      </c>
      <c r="AG112">
        <v>0.86760245013277482</v>
      </c>
      <c r="AH112">
        <v>0.6444382622847955</v>
      </c>
      <c r="AI112">
        <v>0.64690247360847231</v>
      </c>
      <c r="AK112" s="11" t="str">
        <f t="shared" si="32"/>
        <v>IoU 100</v>
      </c>
      <c r="AL112" s="11" t="str">
        <f t="shared" si="39"/>
        <v>IoU 75</v>
      </c>
      <c r="AM112" s="11" t="str">
        <f t="shared" si="40"/>
        <v>IoU 75</v>
      </c>
    </row>
    <row r="113" spans="1:39" ht="15" x14ac:dyDescent="0.25">
      <c r="A113" s="11">
        <v>0.50548598974756587</v>
      </c>
      <c r="B113" s="11">
        <v>0.47734280107267701</v>
      </c>
      <c r="C113" s="11">
        <v>0.396759897437646</v>
      </c>
      <c r="E113" s="11" t="str">
        <f t="shared" si="28"/>
        <v>IoU 75</v>
      </c>
      <c r="F113" s="11" t="str">
        <f t="shared" si="29"/>
        <v>IoU 50</v>
      </c>
      <c r="G113" s="11" t="str">
        <f t="shared" si="30"/>
        <v>IoU 50</v>
      </c>
      <c r="I113" s="11">
        <v>0.73140853523904792</v>
      </c>
      <c r="J113" s="11">
        <v>0.34290825961634031</v>
      </c>
      <c r="K113" s="11">
        <v>0.29125683060109292</v>
      </c>
      <c r="M113" s="11" t="str">
        <f t="shared" si="46"/>
        <v>IoU 75</v>
      </c>
      <c r="N113" s="11" t="str">
        <f t="shared" si="33"/>
        <v>IoU 50</v>
      </c>
      <c r="O113" s="11" t="str">
        <f t="shared" si="34"/>
        <v>IoU 50</v>
      </c>
      <c r="Q113" s="11">
        <v>0.84001863521292242</v>
      </c>
      <c r="R113" s="11">
        <v>0.49361610130726996</v>
      </c>
      <c r="S113" s="11">
        <v>0.39516029638457689</v>
      </c>
      <c r="U113" s="11" t="str">
        <f t="shared" si="44"/>
        <v>IoU 100</v>
      </c>
      <c r="V113" s="11" t="str">
        <f t="shared" si="35"/>
        <v>IoU 50</v>
      </c>
      <c r="W113" s="11" t="str">
        <f t="shared" si="36"/>
        <v>IoU 50</v>
      </c>
      <c r="Y113">
        <v>0.52128036686525481</v>
      </c>
      <c r="Z113">
        <v>0.56403582669033392</v>
      </c>
      <c r="AA113">
        <v>0.22028688524590165</v>
      </c>
      <c r="AC113" s="11" t="str">
        <f t="shared" si="45"/>
        <v>IoU 75</v>
      </c>
      <c r="AD113" s="11" t="str">
        <f t="shared" si="37"/>
        <v>IoU 75</v>
      </c>
      <c r="AE113" s="11" t="str">
        <f t="shared" si="38"/>
        <v>IoU 25</v>
      </c>
      <c r="AG113">
        <v>0.7844507112795055</v>
      </c>
      <c r="AH113">
        <v>0.26895368782161233</v>
      </c>
      <c r="AI113">
        <v>0.32405891980360063</v>
      </c>
      <c r="AK113" s="11" t="str">
        <f t="shared" si="32"/>
        <v>IoU 100</v>
      </c>
      <c r="AL113" s="11" t="str">
        <f t="shared" si="39"/>
        <v>IoU 50</v>
      </c>
      <c r="AM113" s="11" t="str">
        <f t="shared" si="40"/>
        <v>IoU 50</v>
      </c>
    </row>
    <row r="114" spans="1:39" ht="15" x14ac:dyDescent="0.25">
      <c r="A114" s="11">
        <v>0.6920520935175466</v>
      </c>
      <c r="B114" s="11">
        <v>0.39458942478480669</v>
      </c>
      <c r="C114" s="11">
        <v>0.62976558633808499</v>
      </c>
      <c r="E114" s="11" t="str">
        <f t="shared" si="28"/>
        <v>IoU 75</v>
      </c>
      <c r="F114" s="11" t="str">
        <f t="shared" si="29"/>
        <v>IoU 50</v>
      </c>
      <c r="G114" s="11" t="str">
        <f t="shared" si="30"/>
        <v>IoU 75</v>
      </c>
      <c r="I114" s="11">
        <v>0.86160993872334402</v>
      </c>
      <c r="J114" s="11">
        <v>0.72465836552273566</v>
      </c>
      <c r="K114" s="11">
        <v>0.8346124192163491</v>
      </c>
      <c r="M114" s="11" t="str">
        <f t="shared" si="46"/>
        <v>IoU 100</v>
      </c>
      <c r="N114" s="11" t="str">
        <f t="shared" si="33"/>
        <v>IoU 75</v>
      </c>
      <c r="O114" s="11" t="str">
        <f t="shared" si="34"/>
        <v>IoU 100</v>
      </c>
      <c r="Q114" s="11">
        <v>0.79652777188592516</v>
      </c>
      <c r="R114" s="11">
        <v>0.78626089026809509</v>
      </c>
      <c r="S114" s="11">
        <v>0.72621866703682447</v>
      </c>
      <c r="U114" s="11" t="str">
        <f t="shared" si="44"/>
        <v>IoU 100</v>
      </c>
      <c r="V114" s="11" t="str">
        <f t="shared" si="35"/>
        <v>IoU 100</v>
      </c>
      <c r="W114" s="11" t="str">
        <f t="shared" si="36"/>
        <v>IoU 75</v>
      </c>
      <c r="Y114">
        <v>0.40545511554321145</v>
      </c>
      <c r="Z114">
        <v>0.47686970353378272</v>
      </c>
      <c r="AA114">
        <v>0.30516221714805158</v>
      </c>
      <c r="AC114" s="11" t="str">
        <f t="shared" si="45"/>
        <v>IoU 50</v>
      </c>
      <c r="AD114" s="11" t="str">
        <f t="shared" si="37"/>
        <v>IoU 50</v>
      </c>
      <c r="AE114" s="11" t="str">
        <f t="shared" si="38"/>
        <v>IoU 50</v>
      </c>
      <c r="AG114">
        <v>0.91551269047512374</v>
      </c>
      <c r="AH114">
        <v>0.45596195851876792</v>
      </c>
      <c r="AI114">
        <v>0.68915762128199454</v>
      </c>
      <c r="AK114" s="11" t="str">
        <f t="shared" si="32"/>
        <v>IoU 100</v>
      </c>
      <c r="AL114" s="11" t="str">
        <f t="shared" si="39"/>
        <v>IoU 50</v>
      </c>
      <c r="AM114" s="11" t="str">
        <f t="shared" si="40"/>
        <v>IoU 75</v>
      </c>
    </row>
    <row r="115" spans="1:39" ht="15" x14ac:dyDescent="0.25">
      <c r="A115" s="11">
        <v>0.86763060371400225</v>
      </c>
      <c r="B115" s="11">
        <v>0.62206961274335892</v>
      </c>
      <c r="C115" s="11">
        <v>0.78263066022519845</v>
      </c>
      <c r="E115" s="11" t="str">
        <f t="shared" si="28"/>
        <v>IoU 100</v>
      </c>
      <c r="F115" s="11" t="str">
        <f t="shared" si="29"/>
        <v>IoU 75</v>
      </c>
      <c r="G115" s="11" t="str">
        <f t="shared" si="30"/>
        <v>IoU 100</v>
      </c>
      <c r="I115" s="11">
        <v>0.77430801942869265</v>
      </c>
      <c r="J115" s="11">
        <v>0.36184939135796146</v>
      </c>
      <c r="K115" s="11">
        <v>0.39317224021236424</v>
      </c>
      <c r="M115" s="11" t="str">
        <f t="shared" si="46"/>
        <v>IoU 100</v>
      </c>
      <c r="N115" s="11" t="str">
        <f t="shared" si="33"/>
        <v>IoU 50</v>
      </c>
      <c r="O115" s="11" t="str">
        <f t="shared" si="34"/>
        <v>IoU 50</v>
      </c>
      <c r="Q115" s="11">
        <v>0.46625680659050256</v>
      </c>
      <c r="R115" s="11">
        <v>0.30234313347753966</v>
      </c>
      <c r="S115" s="11">
        <v>0.36105340891568993</v>
      </c>
      <c r="U115" s="11" t="str">
        <f t="shared" si="44"/>
        <v>IoU 50</v>
      </c>
      <c r="V115" s="11" t="str">
        <f t="shared" si="35"/>
        <v>IoU 50</v>
      </c>
      <c r="W115" s="11" t="str">
        <f t="shared" si="36"/>
        <v>IoU 50</v>
      </c>
      <c r="Y115">
        <v>0.7419718627363775</v>
      </c>
      <c r="Z115">
        <v>0.5178020345677985</v>
      </c>
      <c r="AA115">
        <v>0.25670279520821448</v>
      </c>
      <c r="AC115" s="11" t="str">
        <f t="shared" si="45"/>
        <v>IoU 75</v>
      </c>
      <c r="AD115" s="11" t="str">
        <f t="shared" si="37"/>
        <v>IoU 75</v>
      </c>
      <c r="AE115" s="11" t="str">
        <f t="shared" si="38"/>
        <v>IoU 50</v>
      </c>
      <c r="AG115">
        <v>0.42333423435599404</v>
      </c>
      <c r="AH115">
        <v>0.24191663420335022</v>
      </c>
      <c r="AI115">
        <v>0.34228216536892847</v>
      </c>
      <c r="AK115" s="11" t="str">
        <f t="shared" si="32"/>
        <v>IoU 50</v>
      </c>
      <c r="AL115" s="11" t="str">
        <f t="shared" si="39"/>
        <v>IoU 25</v>
      </c>
      <c r="AM115" s="11" t="str">
        <f t="shared" si="40"/>
        <v>IoU 50</v>
      </c>
    </row>
    <row r="116" spans="1:39" ht="15" x14ac:dyDescent="0.25">
      <c r="A116" s="11">
        <v>0.87249817572778654</v>
      </c>
      <c r="B116" s="11">
        <v>0.73883669518253026</v>
      </c>
      <c r="C116" s="11">
        <v>0.61934232429014635</v>
      </c>
      <c r="E116" s="11" t="str">
        <f t="shared" si="28"/>
        <v>IoU 100</v>
      </c>
      <c r="F116" s="11" t="str">
        <f t="shared" si="29"/>
        <v>IoU 75</v>
      </c>
      <c r="G116" s="11" t="str">
        <f t="shared" si="30"/>
        <v>IoU 75</v>
      </c>
      <c r="I116" s="11">
        <v>0.59893606941803745</v>
      </c>
      <c r="J116" s="11">
        <v>0.49582141852386807</v>
      </c>
      <c r="K116" s="11">
        <v>0.39569531406782787</v>
      </c>
      <c r="M116" s="11" t="str">
        <f t="shared" si="46"/>
        <v>IoU 75</v>
      </c>
      <c r="N116" s="11" t="str">
        <f t="shared" si="33"/>
        <v>IoU 50</v>
      </c>
      <c r="O116" s="11" t="str">
        <f t="shared" si="34"/>
        <v>IoU 50</v>
      </c>
      <c r="Q116" s="11">
        <v>0.4691785013690864</v>
      </c>
      <c r="R116" s="11">
        <v>0.31057591594694817</v>
      </c>
      <c r="S116" s="11">
        <v>0.32524908202803654</v>
      </c>
      <c r="U116" s="11" t="str">
        <f t="shared" si="44"/>
        <v>IoU 50</v>
      </c>
      <c r="V116" s="11" t="str">
        <f t="shared" si="35"/>
        <v>IoU 50</v>
      </c>
      <c r="W116" s="11" t="str">
        <f t="shared" si="36"/>
        <v>IoU 50</v>
      </c>
      <c r="Y116">
        <v>0.81904442642394881</v>
      </c>
      <c r="Z116">
        <v>0.34626684977678762</v>
      </c>
      <c r="AA116">
        <v>0.40892590521581429</v>
      </c>
      <c r="AC116" s="11" t="str">
        <f t="shared" si="45"/>
        <v>IoU 100</v>
      </c>
      <c r="AD116" s="11" t="str">
        <f t="shared" si="37"/>
        <v>IoU 50</v>
      </c>
      <c r="AE116" s="11" t="str">
        <f t="shared" si="38"/>
        <v>IoU 50</v>
      </c>
      <c r="AG116">
        <v>0.46849286547837765</v>
      </c>
      <c r="AH116">
        <v>0.41218447217118337</v>
      </c>
      <c r="AI116">
        <v>0.23119122257053293</v>
      </c>
      <c r="AK116" s="11" t="str">
        <f t="shared" si="32"/>
        <v>IoU 50</v>
      </c>
      <c r="AL116" s="11" t="str">
        <f t="shared" si="39"/>
        <v>IoU 50</v>
      </c>
      <c r="AM116" s="11" t="str">
        <f t="shared" si="40"/>
        <v>IoU 25</v>
      </c>
    </row>
    <row r="117" spans="1:39" ht="15" x14ac:dyDescent="0.25">
      <c r="A117" s="11">
        <v>0.87805135126565448</v>
      </c>
      <c r="B117" s="11">
        <v>0.81947491137374917</v>
      </c>
      <c r="C117" s="11">
        <v>0.59580831649735844</v>
      </c>
      <c r="E117" s="11" t="str">
        <f t="shared" si="28"/>
        <v>IoU 100</v>
      </c>
      <c r="F117" s="11" t="str">
        <f t="shared" si="29"/>
        <v>IoU 100</v>
      </c>
      <c r="G117" s="11" t="str">
        <f t="shared" si="30"/>
        <v>IoU 75</v>
      </c>
      <c r="I117" s="11">
        <v>0.51459234685414568</v>
      </c>
      <c r="J117" s="11">
        <v>0.35028599747238753</v>
      </c>
      <c r="K117" s="11">
        <v>0.43490693857859997</v>
      </c>
      <c r="M117" s="11" t="str">
        <f t="shared" si="46"/>
        <v>IoU 75</v>
      </c>
      <c r="N117" s="11" t="str">
        <f t="shared" si="33"/>
        <v>IoU 50</v>
      </c>
      <c r="O117" s="11" t="str">
        <f t="shared" si="34"/>
        <v>IoU 50</v>
      </c>
      <c r="Q117" s="11">
        <v>0.80101250736178686</v>
      </c>
      <c r="R117" s="11">
        <v>0.70225770874494964</v>
      </c>
      <c r="S117" s="11">
        <v>0.67334086072979826</v>
      </c>
      <c r="U117" s="11" t="str">
        <f t="shared" si="44"/>
        <v>IoU 100</v>
      </c>
      <c r="V117" s="11" t="str">
        <f t="shared" si="35"/>
        <v>IoU 75</v>
      </c>
      <c r="W117" s="11" t="str">
        <f t="shared" si="36"/>
        <v>IoU 75</v>
      </c>
      <c r="Y117"/>
      <c r="Z117"/>
      <c r="AA117"/>
      <c r="AG117">
        <v>0.45078417912024082</v>
      </c>
      <c r="AH117">
        <v>0.2729748988248239</v>
      </c>
      <c r="AI117">
        <v>0.34120450606585789</v>
      </c>
      <c r="AK117" s="11" t="str">
        <f t="shared" si="32"/>
        <v>IoU 50</v>
      </c>
      <c r="AL117" s="11" t="str">
        <f t="shared" si="39"/>
        <v>IoU 50</v>
      </c>
      <c r="AM117" s="11" t="str">
        <f t="shared" si="40"/>
        <v>IoU 50</v>
      </c>
    </row>
    <row r="118" spans="1:39" ht="15" x14ac:dyDescent="0.25">
      <c r="A118" s="11">
        <v>0.82602969953847483</v>
      </c>
      <c r="B118" s="11">
        <v>0.754245805574563</v>
      </c>
      <c r="C118" s="11">
        <v>0.72988554533081762</v>
      </c>
      <c r="E118" s="11" t="str">
        <f t="shared" si="28"/>
        <v>IoU 100</v>
      </c>
      <c r="F118" s="11" t="str">
        <f t="shared" si="29"/>
        <v>IoU 100</v>
      </c>
      <c r="G118" s="11" t="str">
        <f t="shared" si="30"/>
        <v>IoU 75</v>
      </c>
      <c r="I118" s="11">
        <v>0.82746488565681453</v>
      </c>
      <c r="J118" s="11">
        <v>0.23462693538682089</v>
      </c>
      <c r="K118" s="11">
        <v>0.39387253700699321</v>
      </c>
      <c r="M118" s="11" t="str">
        <f t="shared" si="46"/>
        <v>IoU 100</v>
      </c>
      <c r="N118" s="11" t="str">
        <f t="shared" si="33"/>
        <v>IoU 25</v>
      </c>
      <c r="O118" s="11" t="str">
        <f t="shared" si="34"/>
        <v>IoU 50</v>
      </c>
      <c r="Q118" s="11">
        <v>0.82381947110265408</v>
      </c>
      <c r="R118" s="11">
        <v>0.64971347104459509</v>
      </c>
      <c r="S118" s="11">
        <v>0.63968632138157189</v>
      </c>
      <c r="U118" s="11" t="str">
        <f t="shared" si="44"/>
        <v>IoU 100</v>
      </c>
      <c r="V118" s="11" t="str">
        <f t="shared" si="35"/>
        <v>IoU 75</v>
      </c>
      <c r="W118" s="11" t="str">
        <f t="shared" si="36"/>
        <v>IoU 75</v>
      </c>
      <c r="Y118">
        <v>0.69488037531097846</v>
      </c>
      <c r="Z118">
        <v>0.52229136548509592</v>
      </c>
      <c r="AA118">
        <v>0.28532469746037159</v>
      </c>
      <c r="AC118" s="11" t="str">
        <f t="shared" ref="AC118:AC134" si="47">VLOOKUP(Y118,IoU_Thresholds,2,TRUE)</f>
        <v>IoU 75</v>
      </c>
      <c r="AD118" s="11" t="str">
        <f t="shared" si="37"/>
        <v>IoU 75</v>
      </c>
      <c r="AE118" s="11" t="str">
        <f t="shared" si="38"/>
        <v>IoU 50</v>
      </c>
      <c r="AG118">
        <v>0.45511334839573603</v>
      </c>
      <c r="AH118">
        <v>0.3186643078283945</v>
      </c>
      <c r="AI118">
        <v>0.12518212644785617</v>
      </c>
      <c r="AK118" s="11" t="str">
        <f t="shared" si="32"/>
        <v>IoU 50</v>
      </c>
      <c r="AL118" s="11" t="str">
        <f t="shared" si="39"/>
        <v>IoU 50</v>
      </c>
      <c r="AM118" s="11" t="str">
        <f t="shared" si="40"/>
        <v>IoU 25</v>
      </c>
    </row>
    <row r="119" spans="1:39" ht="15" x14ac:dyDescent="0.25">
      <c r="A119" s="11">
        <v>0.58552773247998235</v>
      </c>
      <c r="B119" s="11">
        <v>0.54487906522694507</v>
      </c>
      <c r="C119" s="11">
        <v>0.43278688524590164</v>
      </c>
      <c r="E119" s="11" t="str">
        <f t="shared" si="28"/>
        <v>IoU 75</v>
      </c>
      <c r="F119" s="11" t="str">
        <f t="shared" si="29"/>
        <v>IoU 75</v>
      </c>
      <c r="G119" s="11" t="str">
        <f t="shared" si="30"/>
        <v>IoU 50</v>
      </c>
      <c r="I119" s="11">
        <v>0.87160610117343096</v>
      </c>
      <c r="J119" s="11">
        <v>0.58931730876554922</v>
      </c>
      <c r="K119" s="11">
        <v>0.74755659770861493</v>
      </c>
      <c r="M119" s="11" t="str">
        <f t="shared" si="46"/>
        <v>IoU 100</v>
      </c>
      <c r="N119" s="11" t="str">
        <f t="shared" si="33"/>
        <v>IoU 75</v>
      </c>
      <c r="O119" s="11" t="str">
        <f t="shared" si="34"/>
        <v>IoU 75</v>
      </c>
      <c r="Q119" s="11">
        <v>0.84221875596329754</v>
      </c>
      <c r="R119" s="11">
        <v>0.67564641748798349</v>
      </c>
      <c r="S119" s="11">
        <v>0.68017276072242794</v>
      </c>
      <c r="U119" s="11" t="str">
        <f t="shared" ref="U119:U150" si="48">VLOOKUP(Q119,IoU_Thresholds,2,TRUE)</f>
        <v>IoU 100</v>
      </c>
      <c r="V119" s="11" t="str">
        <f t="shared" si="35"/>
        <v>IoU 75</v>
      </c>
      <c r="W119" s="11" t="str">
        <f t="shared" si="36"/>
        <v>IoU 75</v>
      </c>
      <c r="Y119">
        <v>0.81402908857969702</v>
      </c>
      <c r="Z119">
        <v>0.80577827721667572</v>
      </c>
      <c r="AA119">
        <v>0.68151720287773343</v>
      </c>
      <c r="AC119" s="11" t="str">
        <f t="shared" si="47"/>
        <v>IoU 100</v>
      </c>
      <c r="AD119" s="11" t="str">
        <f t="shared" si="37"/>
        <v>IoU 100</v>
      </c>
      <c r="AE119" s="11" t="str">
        <f t="shared" si="38"/>
        <v>IoU 75</v>
      </c>
      <c r="AG119">
        <v>0.86849607026466102</v>
      </c>
      <c r="AH119">
        <v>0.51385087847297217</v>
      </c>
      <c r="AI119">
        <v>0.41760075803408936</v>
      </c>
      <c r="AK119" s="11" t="str">
        <f t="shared" si="32"/>
        <v>IoU 100</v>
      </c>
      <c r="AL119" s="11" t="str">
        <f t="shared" si="39"/>
        <v>IoU 75</v>
      </c>
      <c r="AM119" s="11" t="str">
        <f t="shared" si="40"/>
        <v>IoU 50</v>
      </c>
    </row>
    <row r="120" spans="1:39" ht="15" x14ac:dyDescent="0.25">
      <c r="A120" s="11">
        <v>0.79748838619225437</v>
      </c>
      <c r="B120" s="11">
        <v>0.79118134377998328</v>
      </c>
      <c r="C120" s="11">
        <v>0.59043218120140772</v>
      </c>
      <c r="E120" s="11" t="str">
        <f t="shared" si="28"/>
        <v>IoU 100</v>
      </c>
      <c r="F120" s="11" t="str">
        <f t="shared" si="29"/>
        <v>IoU 100</v>
      </c>
      <c r="G120" s="11" t="str">
        <f t="shared" si="30"/>
        <v>IoU 75</v>
      </c>
      <c r="I120" s="11">
        <v>0.94642516002366117</v>
      </c>
      <c r="J120" s="11">
        <v>0.76348898467432957</v>
      </c>
      <c r="K120" s="11">
        <v>0.63510416375156065</v>
      </c>
      <c r="M120" s="11" t="str">
        <f t="shared" si="46"/>
        <v>IoU 100</v>
      </c>
      <c r="N120" s="11" t="str">
        <f t="shared" si="33"/>
        <v>IoU 100</v>
      </c>
      <c r="O120" s="11" t="str">
        <f t="shared" si="34"/>
        <v>IoU 75</v>
      </c>
      <c r="Q120" s="11">
        <v>0.81904392026436568</v>
      </c>
      <c r="R120" s="11">
        <v>0.82084924416034033</v>
      </c>
      <c r="S120" s="11">
        <v>0.63943541595090825</v>
      </c>
      <c r="U120" s="11" t="str">
        <f t="shared" si="48"/>
        <v>IoU 100</v>
      </c>
      <c r="V120" s="11" t="str">
        <f t="shared" si="35"/>
        <v>IoU 100</v>
      </c>
      <c r="W120" s="11" t="str">
        <f t="shared" si="36"/>
        <v>IoU 75</v>
      </c>
      <c r="Y120">
        <v>0.83145472397772036</v>
      </c>
      <c r="Z120">
        <v>0.77943379706455884</v>
      </c>
      <c r="AA120">
        <v>0.65442663074204932</v>
      </c>
      <c r="AC120" s="11" t="str">
        <f t="shared" si="47"/>
        <v>IoU 100</v>
      </c>
      <c r="AD120" s="11" t="str">
        <f t="shared" si="37"/>
        <v>IoU 100</v>
      </c>
      <c r="AE120" s="11" t="str">
        <f t="shared" si="38"/>
        <v>IoU 75</v>
      </c>
      <c r="AG120">
        <v>0.4424676836365864</v>
      </c>
      <c r="AH120">
        <v>0.35883054892601429</v>
      </c>
      <c r="AI120">
        <v>0.12811244979919678</v>
      </c>
      <c r="AK120" s="11" t="str">
        <f t="shared" si="32"/>
        <v>IoU 50</v>
      </c>
      <c r="AL120" s="11" t="str">
        <f t="shared" si="39"/>
        <v>IoU 50</v>
      </c>
      <c r="AM120" s="11" t="str">
        <f t="shared" si="40"/>
        <v>IoU 25</v>
      </c>
    </row>
    <row r="121" spans="1:39" ht="15" x14ac:dyDescent="0.25">
      <c r="A121" s="11">
        <v>0.42944774439304673</v>
      </c>
      <c r="B121" s="11">
        <v>0.31961423526215704</v>
      </c>
      <c r="C121" s="11">
        <v>0.47533901831194242</v>
      </c>
      <c r="E121" s="11" t="str">
        <f t="shared" si="28"/>
        <v>IoU 50</v>
      </c>
      <c r="F121" s="11" t="str">
        <f t="shared" si="29"/>
        <v>IoU 50</v>
      </c>
      <c r="G121" s="11" t="str">
        <f t="shared" si="30"/>
        <v>IoU 50</v>
      </c>
      <c r="I121" s="11">
        <v>0.73134073939662625</v>
      </c>
      <c r="J121" s="11">
        <v>0.38768350492801901</v>
      </c>
      <c r="K121" s="11">
        <v>0.28552976453095363</v>
      </c>
      <c r="M121" s="11" t="str">
        <f t="shared" si="46"/>
        <v>IoU 75</v>
      </c>
      <c r="N121" s="11" t="str">
        <f t="shared" si="33"/>
        <v>IoU 50</v>
      </c>
      <c r="O121" s="11" t="str">
        <f t="shared" si="34"/>
        <v>IoU 50</v>
      </c>
      <c r="Q121" s="11">
        <v>0.9151627676122962</v>
      </c>
      <c r="R121" s="11">
        <v>0.74188130311095823</v>
      </c>
      <c r="S121" s="11">
        <v>0.75734760864496198</v>
      </c>
      <c r="U121" s="11" t="str">
        <f t="shared" si="48"/>
        <v>IoU 100</v>
      </c>
      <c r="V121" s="11" t="str">
        <f t="shared" si="35"/>
        <v>IoU 75</v>
      </c>
      <c r="W121" s="11" t="str">
        <f t="shared" si="36"/>
        <v>IoU 100</v>
      </c>
      <c r="Y121">
        <v>0.60509303018343452</v>
      </c>
      <c r="Z121">
        <v>0.67081594751535345</v>
      </c>
      <c r="AA121">
        <v>0.32400648824006489</v>
      </c>
      <c r="AC121" s="11" t="str">
        <f t="shared" si="47"/>
        <v>IoU 75</v>
      </c>
      <c r="AD121" s="11" t="str">
        <f t="shared" si="37"/>
        <v>IoU 75</v>
      </c>
      <c r="AE121" s="11" t="str">
        <f t="shared" si="38"/>
        <v>IoU 50</v>
      </c>
      <c r="AG121">
        <v>0.77705836463036104</v>
      </c>
      <c r="AH121">
        <v>0.57201210115372625</v>
      </c>
      <c r="AI121">
        <v>0.2212051868802441</v>
      </c>
      <c r="AK121" s="11" t="str">
        <f t="shared" si="32"/>
        <v>IoU 100</v>
      </c>
      <c r="AL121" s="11" t="str">
        <f t="shared" si="39"/>
        <v>IoU 75</v>
      </c>
      <c r="AM121" s="11" t="str">
        <f t="shared" si="40"/>
        <v>IoU 25</v>
      </c>
    </row>
    <row r="122" spans="1:39" ht="15" x14ac:dyDescent="0.25">
      <c r="A122" s="11">
        <v>0.87941492863767523</v>
      </c>
      <c r="B122" s="11">
        <v>0.69758978083238621</v>
      </c>
      <c r="C122" s="11">
        <v>0.67251005445800993</v>
      </c>
      <c r="E122" s="11" t="str">
        <f t="shared" si="28"/>
        <v>IoU 100</v>
      </c>
      <c r="F122" s="11" t="str">
        <f t="shared" si="29"/>
        <v>IoU 75</v>
      </c>
      <c r="G122" s="11" t="str">
        <f t="shared" si="30"/>
        <v>IoU 75</v>
      </c>
      <c r="I122" s="11">
        <v>0.83239761421041392</v>
      </c>
      <c r="J122" s="11">
        <v>0.39229024943310659</v>
      </c>
      <c r="K122" s="11">
        <v>0.83634741715947913</v>
      </c>
      <c r="M122" s="11" t="str">
        <f t="shared" si="46"/>
        <v>IoU 100</v>
      </c>
      <c r="N122" s="11" t="str">
        <f t="shared" si="33"/>
        <v>IoU 50</v>
      </c>
      <c r="O122" s="11" t="str">
        <f t="shared" si="34"/>
        <v>IoU 100</v>
      </c>
      <c r="Q122" s="11">
        <v>0.84015251613286812</v>
      </c>
      <c r="R122" s="11">
        <v>0.72862215298073285</v>
      </c>
      <c r="S122" s="11">
        <v>0.5166203815243201</v>
      </c>
      <c r="U122" s="11" t="str">
        <f t="shared" si="48"/>
        <v>IoU 100</v>
      </c>
      <c r="V122" s="11" t="str">
        <f t="shared" si="35"/>
        <v>IoU 75</v>
      </c>
      <c r="W122" s="11" t="str">
        <f t="shared" si="36"/>
        <v>IoU 75</v>
      </c>
      <c r="Y122">
        <v>0.57824791486759997</v>
      </c>
      <c r="Z122">
        <v>0.46537489901871942</v>
      </c>
      <c r="AA122">
        <v>0.28512396694214875</v>
      </c>
      <c r="AC122" s="11" t="str">
        <f t="shared" si="47"/>
        <v>IoU 75</v>
      </c>
      <c r="AD122" s="11" t="str">
        <f t="shared" si="37"/>
        <v>IoU 50</v>
      </c>
      <c r="AE122" s="11" t="str">
        <f t="shared" si="38"/>
        <v>IoU 50</v>
      </c>
      <c r="AG122">
        <v>0.83481223469484056</v>
      </c>
      <c r="AH122">
        <v>0.61698804116065631</v>
      </c>
      <c r="AI122">
        <v>0.57735248454199561</v>
      </c>
      <c r="AK122" s="11" t="str">
        <f t="shared" si="32"/>
        <v>IoU 100</v>
      </c>
      <c r="AL122" s="11" t="str">
        <f t="shared" si="39"/>
        <v>IoU 75</v>
      </c>
      <c r="AM122" s="11" t="str">
        <f t="shared" si="40"/>
        <v>IoU 75</v>
      </c>
    </row>
    <row r="123" spans="1:39" ht="15" x14ac:dyDescent="0.25">
      <c r="A123" s="11">
        <v>0.7654340059322613</v>
      </c>
      <c r="B123" s="11">
        <v>0.34746911566621996</v>
      </c>
      <c r="C123" s="11">
        <v>0.47512595100258515</v>
      </c>
      <c r="E123" s="11" t="str">
        <f t="shared" si="28"/>
        <v>IoU 100</v>
      </c>
      <c r="F123" s="11" t="str">
        <f t="shared" si="29"/>
        <v>IoU 50</v>
      </c>
      <c r="G123" s="11" t="str">
        <f t="shared" si="30"/>
        <v>IoU 50</v>
      </c>
      <c r="I123" s="11">
        <v>0.78235002102421025</v>
      </c>
      <c r="J123" s="11">
        <v>0.43762755158717725</v>
      </c>
      <c r="K123" s="11">
        <v>0.34276691729323311</v>
      </c>
      <c r="M123" s="11" t="str">
        <f t="shared" si="46"/>
        <v>IoU 100</v>
      </c>
      <c r="N123" s="11" t="str">
        <f t="shared" si="33"/>
        <v>IoU 50</v>
      </c>
      <c r="O123" s="11" t="str">
        <f t="shared" si="34"/>
        <v>IoU 50</v>
      </c>
      <c r="Q123" s="11">
        <v>0.92792208660376596</v>
      </c>
      <c r="R123" s="11">
        <v>0.79847988662065994</v>
      </c>
      <c r="S123" s="11">
        <v>0.56515473678661798</v>
      </c>
      <c r="U123" s="11" t="str">
        <f t="shared" si="48"/>
        <v>IoU 100</v>
      </c>
      <c r="V123" s="11" t="str">
        <f t="shared" si="35"/>
        <v>IoU 100</v>
      </c>
      <c r="W123" s="11" t="str">
        <f t="shared" si="36"/>
        <v>IoU 75</v>
      </c>
      <c r="Y123">
        <v>0.56736461325820964</v>
      </c>
      <c r="Z123">
        <v>0.5737701607873853</v>
      </c>
      <c r="AA123">
        <v>0.37052836213692736</v>
      </c>
      <c r="AC123" s="11" t="str">
        <f t="shared" si="47"/>
        <v>IoU 75</v>
      </c>
      <c r="AD123" s="11" t="str">
        <f t="shared" si="37"/>
        <v>IoU 75</v>
      </c>
      <c r="AE123" s="11" t="str">
        <f t="shared" si="38"/>
        <v>IoU 50</v>
      </c>
      <c r="AG123">
        <v>0.95329551700437487</v>
      </c>
      <c r="AH123">
        <v>0.5575496893079066</v>
      </c>
      <c r="AI123">
        <v>0.44748997425980974</v>
      </c>
      <c r="AK123" s="11" t="str">
        <f t="shared" si="32"/>
        <v>IoU 100</v>
      </c>
      <c r="AL123" s="11" t="str">
        <f t="shared" si="39"/>
        <v>IoU 75</v>
      </c>
      <c r="AM123" s="11" t="str">
        <f t="shared" si="40"/>
        <v>IoU 50</v>
      </c>
    </row>
    <row r="124" spans="1:39" ht="15" x14ac:dyDescent="0.25">
      <c r="A124" s="11">
        <v>0.91816795982011334</v>
      </c>
      <c r="B124" s="11">
        <v>0.5552629182855664</v>
      </c>
      <c r="C124" s="11">
        <v>0.69001392615975821</v>
      </c>
      <c r="E124" s="11" t="str">
        <f t="shared" si="28"/>
        <v>IoU 100</v>
      </c>
      <c r="F124" s="11" t="str">
        <f t="shared" si="29"/>
        <v>IoU 75</v>
      </c>
      <c r="G124" s="11" t="str">
        <f t="shared" si="30"/>
        <v>IoU 75</v>
      </c>
      <c r="I124" s="11">
        <v>0.83461061401241055</v>
      </c>
      <c r="J124" s="11">
        <v>0.57929137605729797</v>
      </c>
      <c r="K124" s="11">
        <v>0.81579995992593046</v>
      </c>
      <c r="M124" s="11" t="str">
        <f t="shared" si="46"/>
        <v>IoU 100</v>
      </c>
      <c r="N124" s="11" t="str">
        <f t="shared" si="33"/>
        <v>IoU 75</v>
      </c>
      <c r="O124" s="11" t="str">
        <f t="shared" si="34"/>
        <v>IoU 100</v>
      </c>
      <c r="Q124" s="11">
        <v>0.81846020924583951</v>
      </c>
      <c r="R124" s="11">
        <v>0.76128520624064722</v>
      </c>
      <c r="S124" s="11">
        <v>0.70006727284924231</v>
      </c>
      <c r="U124" s="11" t="str">
        <f t="shared" si="48"/>
        <v>IoU 100</v>
      </c>
      <c r="V124" s="11" t="str">
        <f t="shared" si="35"/>
        <v>IoU 100</v>
      </c>
      <c r="W124" s="11" t="str">
        <f t="shared" si="36"/>
        <v>IoU 75</v>
      </c>
      <c r="Y124">
        <v>0.8034355237186146</v>
      </c>
      <c r="Z124">
        <v>0.47290426172527578</v>
      </c>
      <c r="AA124">
        <v>0.28191292163075066</v>
      </c>
      <c r="AC124" s="11" t="str">
        <f t="shared" si="47"/>
        <v>IoU 100</v>
      </c>
      <c r="AD124" s="11" t="str">
        <f t="shared" si="37"/>
        <v>IoU 50</v>
      </c>
      <c r="AE124" s="11" t="str">
        <f t="shared" si="38"/>
        <v>IoU 50</v>
      </c>
      <c r="AG124">
        <v>0.82762617405309502</v>
      </c>
      <c r="AH124">
        <v>0.59795424729186353</v>
      </c>
      <c r="AI124">
        <v>0.59830092387738798</v>
      </c>
      <c r="AK124" s="11" t="str">
        <f t="shared" si="32"/>
        <v>IoU 100</v>
      </c>
      <c r="AL124" s="11" t="str">
        <f t="shared" si="39"/>
        <v>IoU 75</v>
      </c>
      <c r="AM124" s="11" t="str">
        <f t="shared" si="40"/>
        <v>IoU 75</v>
      </c>
    </row>
    <row r="125" spans="1:39" ht="15" x14ac:dyDescent="0.25">
      <c r="A125" s="11">
        <v>0.85750989431719704</v>
      </c>
      <c r="B125" s="11">
        <v>0.74039611007802486</v>
      </c>
      <c r="C125" s="11">
        <v>0.80099353055395772</v>
      </c>
      <c r="E125" s="11" t="str">
        <f t="shared" si="28"/>
        <v>IoU 100</v>
      </c>
      <c r="F125" s="11" t="str">
        <f t="shared" si="29"/>
        <v>IoU 75</v>
      </c>
      <c r="G125" s="11" t="str">
        <f t="shared" si="30"/>
        <v>IoU 100</v>
      </c>
      <c r="I125" s="11">
        <v>0.77327634581168936</v>
      </c>
      <c r="J125" s="11">
        <v>0.44183168316831684</v>
      </c>
      <c r="K125" s="11">
        <v>0.34949832775919731</v>
      </c>
      <c r="M125" s="11" t="str">
        <f t="shared" si="46"/>
        <v>IoU 100</v>
      </c>
      <c r="N125" s="11" t="str">
        <f t="shared" si="33"/>
        <v>IoU 50</v>
      </c>
      <c r="O125" s="11" t="str">
        <f t="shared" si="34"/>
        <v>IoU 50</v>
      </c>
      <c r="Q125" s="11">
        <v>0.83700186963214462</v>
      </c>
      <c r="R125" s="11">
        <v>0.78693908343509622</v>
      </c>
      <c r="S125" s="11">
        <v>0.57361225577130481</v>
      </c>
      <c r="U125" s="11" t="str">
        <f t="shared" si="48"/>
        <v>IoU 100</v>
      </c>
      <c r="V125" s="11" t="str">
        <f t="shared" si="35"/>
        <v>IoU 100</v>
      </c>
      <c r="W125" s="11" t="str">
        <f t="shared" si="36"/>
        <v>IoU 75</v>
      </c>
      <c r="Y125">
        <v>0.40558789289871944</v>
      </c>
      <c r="Z125">
        <v>0.55127681665905937</v>
      </c>
      <c r="AA125">
        <v>0.34218269103436066</v>
      </c>
      <c r="AC125" s="11" t="str">
        <f t="shared" si="47"/>
        <v>IoU 50</v>
      </c>
      <c r="AD125" s="11" t="str">
        <f t="shared" si="37"/>
        <v>IoU 75</v>
      </c>
      <c r="AE125" s="11" t="str">
        <f t="shared" si="38"/>
        <v>IoU 50</v>
      </c>
      <c r="AG125">
        <v>0.84916374158243224</v>
      </c>
      <c r="AH125">
        <v>0.53519854876339146</v>
      </c>
      <c r="AI125">
        <v>0.53436088448136065</v>
      </c>
      <c r="AK125" s="11" t="str">
        <f t="shared" si="32"/>
        <v>IoU 100</v>
      </c>
      <c r="AL125" s="11" t="str">
        <f t="shared" si="39"/>
        <v>IoU 75</v>
      </c>
      <c r="AM125" s="11" t="str">
        <f t="shared" si="40"/>
        <v>IoU 75</v>
      </c>
    </row>
    <row r="126" spans="1:39" ht="15" x14ac:dyDescent="0.25">
      <c r="A126" s="11">
        <v>0.90031340202081878</v>
      </c>
      <c r="B126" s="11">
        <v>0.59760300911234021</v>
      </c>
      <c r="C126" s="11">
        <v>0.76282018614542557</v>
      </c>
      <c r="E126" s="11" t="str">
        <f t="shared" si="28"/>
        <v>IoU 100</v>
      </c>
      <c r="F126" s="11" t="str">
        <f t="shared" si="29"/>
        <v>IoU 75</v>
      </c>
      <c r="G126" s="11" t="str">
        <f t="shared" si="30"/>
        <v>IoU 100</v>
      </c>
      <c r="I126" s="11">
        <v>0.58145689716623528</v>
      </c>
      <c r="J126" s="11">
        <v>0.45518515915243435</v>
      </c>
      <c r="K126" s="11">
        <v>0.29112727203658906</v>
      </c>
      <c r="M126" s="11" t="str">
        <f t="shared" si="46"/>
        <v>IoU 75</v>
      </c>
      <c r="N126" s="11" t="str">
        <f t="shared" si="33"/>
        <v>IoU 50</v>
      </c>
      <c r="O126" s="11" t="str">
        <f t="shared" si="34"/>
        <v>IoU 50</v>
      </c>
      <c r="Q126" s="11">
        <v>0.84477681021394591</v>
      </c>
      <c r="R126" s="11">
        <v>0.86016833824346928</v>
      </c>
      <c r="S126" s="11">
        <v>0.59359417794892855</v>
      </c>
      <c r="U126" s="11" t="str">
        <f t="shared" si="48"/>
        <v>IoU 100</v>
      </c>
      <c r="V126" s="11" t="str">
        <f t="shared" si="35"/>
        <v>IoU 100</v>
      </c>
      <c r="W126" s="11" t="str">
        <f t="shared" si="36"/>
        <v>IoU 75</v>
      </c>
      <c r="Y126">
        <v>0</v>
      </c>
      <c r="Z126">
        <v>1.0324780100077225E-2</v>
      </c>
      <c r="AA126">
        <v>0</v>
      </c>
      <c r="AC126" s="11" t="str">
        <f t="shared" si="47"/>
        <v>IoU 25</v>
      </c>
      <c r="AD126" s="11" t="str">
        <f t="shared" si="37"/>
        <v>IoU 25</v>
      </c>
      <c r="AE126" s="11" t="str">
        <f t="shared" si="38"/>
        <v>IoU 25</v>
      </c>
      <c r="AG126">
        <v>0.84323473881678501</v>
      </c>
      <c r="AH126">
        <v>0.26338711980579754</v>
      </c>
      <c r="AI126">
        <v>0.439253926837885</v>
      </c>
      <c r="AK126" s="11" t="str">
        <f t="shared" si="32"/>
        <v>IoU 100</v>
      </c>
      <c r="AL126" s="11" t="str">
        <f t="shared" si="39"/>
        <v>IoU 50</v>
      </c>
      <c r="AM126" s="11" t="str">
        <f t="shared" si="40"/>
        <v>IoU 50</v>
      </c>
    </row>
    <row r="127" spans="1:39" ht="15" x14ac:dyDescent="0.25">
      <c r="A127" s="11">
        <v>0.83663503868258071</v>
      </c>
      <c r="B127" s="11">
        <v>0.73574399202624319</v>
      </c>
      <c r="C127" s="11">
        <v>0.71888562376310539</v>
      </c>
      <c r="E127" s="11" t="str">
        <f t="shared" si="28"/>
        <v>IoU 100</v>
      </c>
      <c r="F127" s="11" t="str">
        <f t="shared" si="29"/>
        <v>IoU 75</v>
      </c>
      <c r="G127" s="11" t="str">
        <f t="shared" si="30"/>
        <v>IoU 75</v>
      </c>
      <c r="I127" s="11">
        <v>0.87262650236709538</v>
      </c>
      <c r="J127" s="11">
        <v>0.77491289554607445</v>
      </c>
      <c r="K127" s="11">
        <v>0.65311521824914132</v>
      </c>
      <c r="M127" s="11" t="str">
        <f t="shared" si="46"/>
        <v>IoU 100</v>
      </c>
      <c r="N127" s="11" t="str">
        <f t="shared" si="33"/>
        <v>IoU 100</v>
      </c>
      <c r="O127" s="11" t="str">
        <f t="shared" si="34"/>
        <v>IoU 75</v>
      </c>
      <c r="Q127" s="11">
        <v>0.76020449824642078</v>
      </c>
      <c r="R127" s="11">
        <v>0.5334565748245701</v>
      </c>
      <c r="S127" s="11">
        <v>0.31480611045828438</v>
      </c>
      <c r="U127" s="11" t="str">
        <f t="shared" si="48"/>
        <v>IoU 100</v>
      </c>
      <c r="V127" s="11" t="str">
        <f t="shared" si="35"/>
        <v>IoU 75</v>
      </c>
      <c r="W127" s="11" t="str">
        <f t="shared" si="36"/>
        <v>IoU 50</v>
      </c>
      <c r="Y127">
        <v>0.84953751636219454</v>
      </c>
      <c r="Z127">
        <v>0.76417708847320132</v>
      </c>
      <c r="AA127">
        <v>0.63065751636863809</v>
      </c>
      <c r="AC127" s="11" t="str">
        <f t="shared" si="47"/>
        <v>IoU 100</v>
      </c>
      <c r="AD127" s="11" t="str">
        <f t="shared" si="37"/>
        <v>IoU 100</v>
      </c>
      <c r="AE127" s="11" t="str">
        <f t="shared" si="38"/>
        <v>IoU 75</v>
      </c>
      <c r="AG127">
        <v>0.45645390997175711</v>
      </c>
      <c r="AH127">
        <v>0.29612139919373914</v>
      </c>
      <c r="AI127">
        <v>0.28832584990378446</v>
      </c>
      <c r="AK127" s="11" t="str">
        <f t="shared" si="32"/>
        <v>IoU 50</v>
      </c>
      <c r="AL127" s="11" t="str">
        <f t="shared" si="39"/>
        <v>IoU 50</v>
      </c>
      <c r="AM127" s="11" t="str">
        <f t="shared" si="40"/>
        <v>IoU 50</v>
      </c>
    </row>
    <row r="128" spans="1:39" ht="15" x14ac:dyDescent="0.25">
      <c r="A128" s="11">
        <v>0.82013916235063167</v>
      </c>
      <c r="B128" s="11">
        <v>0.26671122994652408</v>
      </c>
      <c r="C128" s="11">
        <v>0.37916666666666665</v>
      </c>
      <c r="E128" s="11" t="str">
        <f t="shared" si="28"/>
        <v>IoU 100</v>
      </c>
      <c r="F128" s="11" t="str">
        <f t="shared" si="29"/>
        <v>IoU 50</v>
      </c>
      <c r="G128" s="11" t="str">
        <f t="shared" si="30"/>
        <v>IoU 50</v>
      </c>
      <c r="I128" s="11">
        <v>0.80479622628915803</v>
      </c>
      <c r="J128" s="11">
        <v>0.72253957288572657</v>
      </c>
      <c r="K128" s="11">
        <v>0.72195528365092443</v>
      </c>
      <c r="M128" s="11" t="str">
        <f t="shared" si="46"/>
        <v>IoU 100</v>
      </c>
      <c r="N128" s="11" t="str">
        <f t="shared" si="33"/>
        <v>IoU 75</v>
      </c>
      <c r="O128" s="11" t="str">
        <f t="shared" si="34"/>
        <v>IoU 75</v>
      </c>
      <c r="Q128" s="11">
        <v>0.88408859102590576</v>
      </c>
      <c r="R128" s="11">
        <v>0.71050729801937562</v>
      </c>
      <c r="S128" s="11">
        <v>0.48275630328909341</v>
      </c>
      <c r="U128" s="11" t="str">
        <f t="shared" si="48"/>
        <v>IoU 100</v>
      </c>
      <c r="V128" s="11" t="str">
        <f t="shared" si="35"/>
        <v>IoU 75</v>
      </c>
      <c r="W128" s="11" t="str">
        <f t="shared" si="36"/>
        <v>IoU 50</v>
      </c>
      <c r="Y128">
        <v>0.1245327908325216</v>
      </c>
      <c r="Z128">
        <v>0</v>
      </c>
      <c r="AA128">
        <v>0.10655737704918032</v>
      </c>
      <c r="AC128" s="11" t="str">
        <f t="shared" si="47"/>
        <v>IoU 25</v>
      </c>
      <c r="AD128" s="11" t="str">
        <f t="shared" si="37"/>
        <v>IoU 25</v>
      </c>
      <c r="AE128" s="11" t="str">
        <f t="shared" si="38"/>
        <v>IoU 25</v>
      </c>
      <c r="AG128">
        <v>0.37857109890617069</v>
      </c>
      <c r="AH128">
        <v>0.52165873665049944</v>
      </c>
      <c r="AI128">
        <v>0.22552391996274707</v>
      </c>
      <c r="AK128" s="11" t="str">
        <f t="shared" si="32"/>
        <v>IoU 50</v>
      </c>
      <c r="AL128" s="11" t="str">
        <f t="shared" si="39"/>
        <v>IoU 75</v>
      </c>
      <c r="AM128" s="11" t="str">
        <f t="shared" si="40"/>
        <v>IoU 25</v>
      </c>
    </row>
    <row r="129" spans="1:39" ht="15" x14ac:dyDescent="0.25">
      <c r="A129" s="11">
        <v>0.81753844455362212</v>
      </c>
      <c r="B129" s="11">
        <v>0.77928707602988878</v>
      </c>
      <c r="C129" s="11">
        <v>0.5817899687218866</v>
      </c>
      <c r="E129" s="11" t="str">
        <f t="shared" si="28"/>
        <v>IoU 100</v>
      </c>
      <c r="F129" s="11" t="str">
        <f t="shared" si="29"/>
        <v>IoU 100</v>
      </c>
      <c r="G129" s="11" t="str">
        <f t="shared" si="30"/>
        <v>IoU 75</v>
      </c>
      <c r="I129" s="11">
        <v>0.67325675338466151</v>
      </c>
      <c r="J129" s="11">
        <v>0.37126291237263154</v>
      </c>
      <c r="K129" s="11">
        <v>0.43420573376569166</v>
      </c>
      <c r="M129" s="11" t="str">
        <f t="shared" si="46"/>
        <v>IoU 75</v>
      </c>
      <c r="N129" s="11" t="str">
        <f t="shared" si="33"/>
        <v>IoU 50</v>
      </c>
      <c r="O129" s="11" t="str">
        <f t="shared" si="34"/>
        <v>IoU 50</v>
      </c>
      <c r="Q129" s="11">
        <v>0.83389694689689731</v>
      </c>
      <c r="R129" s="11">
        <v>0.8181404771605989</v>
      </c>
      <c r="S129" s="11">
        <v>0.77340491654835231</v>
      </c>
      <c r="U129" s="11" t="str">
        <f t="shared" si="48"/>
        <v>IoU 100</v>
      </c>
      <c r="V129" s="11" t="str">
        <f t="shared" si="35"/>
        <v>IoU 100</v>
      </c>
      <c r="W129" s="11" t="str">
        <f t="shared" si="36"/>
        <v>IoU 100</v>
      </c>
      <c r="Y129">
        <v>0.5241595634335392</v>
      </c>
      <c r="Z129">
        <v>0.62708725288926992</v>
      </c>
      <c r="AA129">
        <v>0.29107237189646062</v>
      </c>
      <c r="AC129" s="11" t="str">
        <f t="shared" si="47"/>
        <v>IoU 75</v>
      </c>
      <c r="AD129" s="11" t="str">
        <f t="shared" si="37"/>
        <v>IoU 75</v>
      </c>
      <c r="AE129" s="11" t="str">
        <f t="shared" si="38"/>
        <v>IoU 50</v>
      </c>
      <c r="AG129">
        <v>0.93885238419915673</v>
      </c>
      <c r="AH129">
        <v>0.76298634957573008</v>
      </c>
      <c r="AI129">
        <v>0.55096647523354947</v>
      </c>
      <c r="AK129" s="11" t="str">
        <f t="shared" si="32"/>
        <v>IoU 100</v>
      </c>
      <c r="AL129" s="11" t="str">
        <f t="shared" si="39"/>
        <v>IoU 100</v>
      </c>
      <c r="AM129" s="11" t="str">
        <f t="shared" si="40"/>
        <v>IoU 75</v>
      </c>
    </row>
    <row r="130" spans="1:39" ht="15" x14ac:dyDescent="0.25">
      <c r="A130" s="11">
        <v>0.87603072230137591</v>
      </c>
      <c r="B130" s="11">
        <v>0.75464892458009691</v>
      </c>
      <c r="C130" s="11">
        <v>0.57081451489214063</v>
      </c>
      <c r="E130" s="11" t="str">
        <f t="shared" si="28"/>
        <v>IoU 100</v>
      </c>
      <c r="F130" s="11" t="str">
        <f t="shared" si="29"/>
        <v>IoU 100</v>
      </c>
      <c r="G130" s="11" t="str">
        <f t="shared" si="30"/>
        <v>IoU 75</v>
      </c>
      <c r="I130" s="11">
        <v>0.81608949446837142</v>
      </c>
      <c r="J130" s="11">
        <v>0.80895026853334562</v>
      </c>
      <c r="K130" s="11">
        <v>0.66832125578745338</v>
      </c>
      <c r="M130" s="11" t="str">
        <f t="shared" si="46"/>
        <v>IoU 100</v>
      </c>
      <c r="N130" s="11" t="str">
        <f t="shared" si="33"/>
        <v>IoU 100</v>
      </c>
      <c r="O130" s="11" t="str">
        <f t="shared" si="34"/>
        <v>IoU 75</v>
      </c>
      <c r="Q130" s="11">
        <v>0.79816095035245738</v>
      </c>
      <c r="R130" s="11">
        <v>0.28379983024613226</v>
      </c>
      <c r="S130" s="11">
        <v>0.28759535009025133</v>
      </c>
      <c r="U130" s="11" t="str">
        <f t="shared" si="48"/>
        <v>IoU 100</v>
      </c>
      <c r="V130" s="11" t="str">
        <f t="shared" si="35"/>
        <v>IoU 50</v>
      </c>
      <c r="W130" s="11" t="str">
        <f t="shared" si="36"/>
        <v>IoU 50</v>
      </c>
      <c r="Y130">
        <v>0.82703827852082745</v>
      </c>
      <c r="Z130">
        <v>0.31311329170383584</v>
      </c>
      <c r="AA130">
        <v>0.34709360705121051</v>
      </c>
      <c r="AC130" s="11" t="str">
        <f t="shared" si="47"/>
        <v>IoU 100</v>
      </c>
      <c r="AD130" s="11" t="str">
        <f t="shared" si="37"/>
        <v>IoU 50</v>
      </c>
      <c r="AE130" s="11" t="str">
        <f t="shared" si="38"/>
        <v>IoU 50</v>
      </c>
      <c r="AG130">
        <v>0.74718819526494373</v>
      </c>
      <c r="AH130">
        <v>0.27254509018036072</v>
      </c>
      <c r="AI130">
        <v>0.34014675052410903</v>
      </c>
      <c r="AK130" s="11" t="str">
        <f t="shared" si="32"/>
        <v>IoU 75</v>
      </c>
      <c r="AL130" s="11" t="str">
        <f t="shared" si="39"/>
        <v>IoU 50</v>
      </c>
      <c r="AM130" s="11" t="str">
        <f t="shared" si="40"/>
        <v>IoU 50</v>
      </c>
    </row>
    <row r="131" spans="1:39" ht="15" x14ac:dyDescent="0.25">
      <c r="A131" s="11">
        <v>0.37402816802787181</v>
      </c>
      <c r="B131" s="11">
        <v>0</v>
      </c>
      <c r="C131" s="11">
        <v>0</v>
      </c>
      <c r="E131" s="11" t="str">
        <f t="shared" si="28"/>
        <v>IoU 50</v>
      </c>
      <c r="F131" s="11" t="str">
        <f t="shared" si="29"/>
        <v>IoU 25</v>
      </c>
      <c r="G131" s="11" t="str">
        <f t="shared" si="30"/>
        <v>IoU 25</v>
      </c>
      <c r="I131" s="11">
        <v>0.7666143117689963</v>
      </c>
      <c r="J131" s="11">
        <v>0.31712307208057916</v>
      </c>
      <c r="K131" s="11">
        <v>0.69014880247524357</v>
      </c>
      <c r="M131" s="11" t="str">
        <f t="shared" si="46"/>
        <v>IoU 100</v>
      </c>
      <c r="N131" s="11" t="str">
        <f t="shared" si="33"/>
        <v>IoU 50</v>
      </c>
      <c r="O131" s="11" t="str">
        <f t="shared" si="34"/>
        <v>IoU 75</v>
      </c>
      <c r="Q131" s="11">
        <v>0.86594742415168091</v>
      </c>
      <c r="R131" s="11">
        <v>0.75521044815648242</v>
      </c>
      <c r="S131" s="11">
        <v>0.54682802360884575</v>
      </c>
      <c r="U131" s="11" t="str">
        <f t="shared" si="48"/>
        <v>IoU 100</v>
      </c>
      <c r="V131" s="11" t="str">
        <f t="shared" si="35"/>
        <v>IoU 100</v>
      </c>
      <c r="W131" s="11" t="str">
        <f t="shared" si="36"/>
        <v>IoU 75</v>
      </c>
      <c r="Y131">
        <v>0.82114013527942475</v>
      </c>
      <c r="Z131">
        <v>0.35272653557672817</v>
      </c>
      <c r="AA131">
        <v>0.30620155038759689</v>
      </c>
      <c r="AC131" s="11" t="str">
        <f t="shared" si="47"/>
        <v>IoU 100</v>
      </c>
      <c r="AD131" s="11" t="str">
        <f t="shared" si="37"/>
        <v>IoU 50</v>
      </c>
      <c r="AE131" s="11" t="str">
        <f t="shared" si="38"/>
        <v>IoU 50</v>
      </c>
      <c r="AG131">
        <v>0.85983714000663336</v>
      </c>
      <c r="AH131">
        <v>0.60650394042012856</v>
      </c>
      <c r="AI131">
        <v>0.30277401667694454</v>
      </c>
      <c r="AK131" s="11" t="str">
        <f t="shared" si="32"/>
        <v>IoU 100</v>
      </c>
      <c r="AL131" s="11" t="str">
        <f t="shared" si="39"/>
        <v>IoU 75</v>
      </c>
      <c r="AM131" s="11" t="str">
        <f t="shared" si="40"/>
        <v>IoU 50</v>
      </c>
    </row>
    <row r="132" spans="1:39" ht="15" x14ac:dyDescent="0.25">
      <c r="A132" s="11">
        <v>0.77851497015301441</v>
      </c>
      <c r="B132" s="11">
        <v>0.70232566518912132</v>
      </c>
      <c r="C132" s="11">
        <v>0.68273921745422494</v>
      </c>
      <c r="E132" s="11" t="str">
        <f t="shared" si="28"/>
        <v>IoU 100</v>
      </c>
      <c r="F132" s="11" t="str">
        <f t="shared" si="29"/>
        <v>IoU 75</v>
      </c>
      <c r="G132" s="11" t="str">
        <f t="shared" si="30"/>
        <v>IoU 75</v>
      </c>
      <c r="I132" s="11">
        <v>0.89746709526098223</v>
      </c>
      <c r="J132" s="11">
        <v>0.69697776527799871</v>
      </c>
      <c r="K132" s="11">
        <v>0.70579266955565922</v>
      </c>
      <c r="M132" s="11" t="str">
        <f t="shared" si="46"/>
        <v>IoU 100</v>
      </c>
      <c r="N132" s="11" t="str">
        <f t="shared" si="33"/>
        <v>IoU 75</v>
      </c>
      <c r="O132" s="11" t="str">
        <f t="shared" si="34"/>
        <v>IoU 75</v>
      </c>
      <c r="Q132" s="11">
        <v>0.5948733679186099</v>
      </c>
      <c r="R132" s="11">
        <v>0.46799346417459708</v>
      </c>
      <c r="S132" s="11">
        <v>0.27223159750375869</v>
      </c>
      <c r="U132" s="11" t="str">
        <f t="shared" si="48"/>
        <v>IoU 75</v>
      </c>
      <c r="V132" s="11" t="str">
        <f t="shared" si="35"/>
        <v>IoU 50</v>
      </c>
      <c r="W132" s="11" t="str">
        <f t="shared" si="36"/>
        <v>IoU 50</v>
      </c>
      <c r="Y132">
        <v>0</v>
      </c>
      <c r="Z132">
        <v>0.29177387915107306</v>
      </c>
      <c r="AA132">
        <v>5.4890775933682412E-2</v>
      </c>
      <c r="AC132" s="11" t="str">
        <f t="shared" si="47"/>
        <v>IoU 25</v>
      </c>
      <c r="AD132" s="11" t="str">
        <f t="shared" si="37"/>
        <v>IoU 50</v>
      </c>
      <c r="AE132" s="11" t="str">
        <f t="shared" si="38"/>
        <v>IoU 25</v>
      </c>
      <c r="AG132">
        <v>0.45291471848388415</v>
      </c>
      <c r="AH132">
        <v>0.74012905629618198</v>
      </c>
      <c r="AI132">
        <v>0.23593086747617889</v>
      </c>
      <c r="AK132" s="11" t="str">
        <f t="shared" si="32"/>
        <v>IoU 50</v>
      </c>
      <c r="AL132" s="11" t="str">
        <f t="shared" si="39"/>
        <v>IoU 75</v>
      </c>
      <c r="AM132" s="11" t="str">
        <f t="shared" si="40"/>
        <v>IoU 25</v>
      </c>
    </row>
    <row r="133" spans="1:39" ht="15" x14ac:dyDescent="0.25">
      <c r="A133" s="11">
        <v>0.89757409373900021</v>
      </c>
      <c r="B133" s="11">
        <v>0.7817521836958039</v>
      </c>
      <c r="C133" s="11">
        <v>0.76729845024827226</v>
      </c>
      <c r="E133" s="11" t="str">
        <f t="shared" ref="E133:E196" si="49">VLOOKUP(A133,IoU_Thresholds,2,TRUE)</f>
        <v>IoU 100</v>
      </c>
      <c r="F133" s="11" t="str">
        <f t="shared" ref="F133:F196" si="50">VLOOKUP(B133,IoU_Thresholds,2,TRUE)</f>
        <v>IoU 100</v>
      </c>
      <c r="G133" s="11" t="str">
        <f t="shared" ref="G133:G196" si="51">VLOOKUP(C133,IoU_Thresholds,2,TRUE)</f>
        <v>IoU 100</v>
      </c>
      <c r="I133" s="11">
        <v>0.7727541770428028</v>
      </c>
      <c r="J133" s="11">
        <v>0.3170419651995906</v>
      </c>
      <c r="K133" s="11">
        <v>0.29514788060515196</v>
      </c>
      <c r="M133" s="11" t="str">
        <f t="shared" si="46"/>
        <v>IoU 100</v>
      </c>
      <c r="N133" s="11" t="str">
        <f t="shared" si="33"/>
        <v>IoU 50</v>
      </c>
      <c r="O133" s="11" t="str">
        <f t="shared" si="34"/>
        <v>IoU 50</v>
      </c>
      <c r="Q133" s="11">
        <v>0.86145814231621576</v>
      </c>
      <c r="R133" s="11">
        <v>0.77885526577686881</v>
      </c>
      <c r="S133" s="11">
        <v>0.72365807170238949</v>
      </c>
      <c r="U133" s="11" t="str">
        <f t="shared" si="48"/>
        <v>IoU 100</v>
      </c>
      <c r="V133" s="11" t="str">
        <f t="shared" si="35"/>
        <v>IoU 100</v>
      </c>
      <c r="W133" s="11" t="str">
        <f t="shared" si="36"/>
        <v>IoU 75</v>
      </c>
      <c r="Y133">
        <v>0.7096149665035989</v>
      </c>
      <c r="Z133">
        <v>0.24879445449065701</v>
      </c>
      <c r="AA133">
        <v>0.31920986929064471</v>
      </c>
      <c r="AC133" s="11" t="str">
        <f t="shared" si="47"/>
        <v>IoU 75</v>
      </c>
      <c r="AD133" s="11" t="str">
        <f t="shared" si="37"/>
        <v>IoU 25</v>
      </c>
      <c r="AE133" s="11" t="str">
        <f t="shared" si="38"/>
        <v>IoU 50</v>
      </c>
      <c r="AG133">
        <v>0.87730355026512497</v>
      </c>
      <c r="AH133">
        <v>0.56271892454795036</v>
      </c>
      <c r="AI133">
        <v>0.48837216747664508</v>
      </c>
      <c r="AK133" s="11" t="str">
        <f t="shared" ref="AK133:AK196" si="52">VLOOKUP(AG133,IoU_Thresholds,2,TRUE)</f>
        <v>IoU 100</v>
      </c>
      <c r="AL133" s="11" t="str">
        <f t="shared" si="39"/>
        <v>IoU 75</v>
      </c>
      <c r="AM133" s="11" t="str">
        <f t="shared" si="40"/>
        <v>IoU 50</v>
      </c>
    </row>
    <row r="134" spans="1:39" ht="15" x14ac:dyDescent="0.25">
      <c r="A134" s="11">
        <v>0.90348306674259127</v>
      </c>
      <c r="B134" s="11">
        <v>0.30731441163578166</v>
      </c>
      <c r="C134" s="11">
        <v>0.15977319874202967</v>
      </c>
      <c r="E134" s="11" t="str">
        <f t="shared" si="49"/>
        <v>IoU 100</v>
      </c>
      <c r="F134" s="11" t="str">
        <f t="shared" si="50"/>
        <v>IoU 50</v>
      </c>
      <c r="G134" s="11" t="str">
        <f t="shared" si="51"/>
        <v>IoU 25</v>
      </c>
      <c r="I134" s="11">
        <v>0.91186076235760816</v>
      </c>
      <c r="J134" s="11">
        <v>0.50080789463051867</v>
      </c>
      <c r="K134" s="11">
        <v>0.5765122791524413</v>
      </c>
      <c r="M134" s="11" t="str">
        <f t="shared" si="46"/>
        <v>IoU 100</v>
      </c>
      <c r="N134" s="11" t="str">
        <f t="shared" ref="N134:N197" si="53">VLOOKUP(J134,IoU_Thresholds,2,TRUE)</f>
        <v>IoU 75</v>
      </c>
      <c r="O134" s="11" t="str">
        <f t="shared" ref="O134:O197" si="54">VLOOKUP(K134,IoU_Thresholds,2,TRUE)</f>
        <v>IoU 75</v>
      </c>
      <c r="Q134" s="11">
        <v>0.83977844759147624</v>
      </c>
      <c r="R134" s="11">
        <v>0.74384748295507608</v>
      </c>
      <c r="S134" s="11">
        <v>0.72722703262911736</v>
      </c>
      <c r="U134" s="11" t="str">
        <f t="shared" si="48"/>
        <v>IoU 100</v>
      </c>
      <c r="V134" s="11" t="str">
        <f t="shared" ref="V134:V197" si="55">VLOOKUP(R134,IoU_Thresholds,2,TRUE)</f>
        <v>IoU 75</v>
      </c>
      <c r="W134" s="11" t="str">
        <f t="shared" ref="W134:W197" si="56">VLOOKUP(S134,IoU_Thresholds,2,TRUE)</f>
        <v>IoU 75</v>
      </c>
      <c r="Y134">
        <v>0.42250773752243231</v>
      </c>
      <c r="Z134">
        <v>0.72827629774267666</v>
      </c>
      <c r="AA134">
        <v>0.42802650832995881</v>
      </c>
      <c r="AC134" s="11" t="str">
        <f t="shared" si="47"/>
        <v>IoU 50</v>
      </c>
      <c r="AD134" s="11" t="str">
        <f t="shared" ref="AD134:AD197" si="57">VLOOKUP(Z134,IoU_Thresholds,2,TRUE)</f>
        <v>IoU 75</v>
      </c>
      <c r="AE134" s="11" t="str">
        <f t="shared" ref="AE134:AE197" si="58">VLOOKUP(AA134,IoU_Thresholds,2,TRUE)</f>
        <v>IoU 50</v>
      </c>
      <c r="AG134">
        <v>0.88175430936356591</v>
      </c>
      <c r="AH134">
        <v>0.72463956427434717</v>
      </c>
      <c r="AI134">
        <v>0.42486442967450744</v>
      </c>
      <c r="AK134" s="11" t="str">
        <f t="shared" si="52"/>
        <v>IoU 100</v>
      </c>
      <c r="AL134" s="11" t="str">
        <f t="shared" ref="AL134:AL197" si="59">VLOOKUP(AH134,IoU_Thresholds,2,TRUE)</f>
        <v>IoU 75</v>
      </c>
      <c r="AM134" s="11" t="str">
        <f t="shared" ref="AM134:AM197" si="60">VLOOKUP(AI134,IoU_Thresholds,2,TRUE)</f>
        <v>IoU 50</v>
      </c>
    </row>
    <row r="135" spans="1:39" ht="15" x14ac:dyDescent="0.25">
      <c r="A135" s="11">
        <v>0.79989817230350546</v>
      </c>
      <c r="B135" s="11">
        <v>0.28650959792696207</v>
      </c>
      <c r="C135" s="11">
        <v>0.35513413762608748</v>
      </c>
      <c r="E135" s="11" t="str">
        <f t="shared" si="49"/>
        <v>IoU 100</v>
      </c>
      <c r="F135" s="11" t="str">
        <f t="shared" si="50"/>
        <v>IoU 50</v>
      </c>
      <c r="G135" s="11" t="str">
        <f t="shared" si="51"/>
        <v>IoU 50</v>
      </c>
      <c r="I135" s="11">
        <v>0.84954108606155099</v>
      </c>
      <c r="J135" s="11">
        <v>0.73645701254204965</v>
      </c>
      <c r="K135" s="11">
        <v>0.78420624544642359</v>
      </c>
      <c r="M135" s="11" t="str">
        <f t="shared" si="46"/>
        <v>IoU 100</v>
      </c>
      <c r="N135" s="11" t="str">
        <f t="shared" si="53"/>
        <v>IoU 75</v>
      </c>
      <c r="O135" s="11" t="str">
        <f t="shared" si="54"/>
        <v>IoU 100</v>
      </c>
      <c r="Q135" s="11">
        <v>0.85643522434818475</v>
      </c>
      <c r="R135" s="11">
        <v>0.82847634314777863</v>
      </c>
      <c r="S135" s="11">
        <v>0.57992655508299329</v>
      </c>
      <c r="U135" s="11" t="str">
        <f t="shared" si="48"/>
        <v>IoU 100</v>
      </c>
      <c r="V135" s="11" t="str">
        <f t="shared" si="55"/>
        <v>IoU 100</v>
      </c>
      <c r="W135" s="11" t="str">
        <f t="shared" si="56"/>
        <v>IoU 75</v>
      </c>
      <c r="Y135"/>
      <c r="Z135"/>
      <c r="AA135"/>
      <c r="AG135">
        <v>0.45653674647980808</v>
      </c>
      <c r="AH135">
        <v>0.28721859114015974</v>
      </c>
      <c r="AI135">
        <v>0.41830955454736868</v>
      </c>
      <c r="AK135" s="11" t="str">
        <f t="shared" si="52"/>
        <v>IoU 50</v>
      </c>
      <c r="AL135" s="11" t="str">
        <f t="shared" si="59"/>
        <v>IoU 50</v>
      </c>
      <c r="AM135" s="11" t="str">
        <f t="shared" si="60"/>
        <v>IoU 50</v>
      </c>
    </row>
    <row r="136" spans="1:39" ht="15" x14ac:dyDescent="0.25">
      <c r="A136" s="11">
        <v>0.78242104416240965</v>
      </c>
      <c r="B136" s="11">
        <v>0.38978185993111364</v>
      </c>
      <c r="C136" s="11">
        <v>0.44162574521588699</v>
      </c>
      <c r="E136" s="11" t="str">
        <f t="shared" si="49"/>
        <v>IoU 100</v>
      </c>
      <c r="F136" s="11" t="str">
        <f t="shared" si="50"/>
        <v>IoU 50</v>
      </c>
      <c r="G136" s="11" t="str">
        <f t="shared" si="51"/>
        <v>IoU 50</v>
      </c>
      <c r="I136" s="11">
        <v>0.82134167142640657</v>
      </c>
      <c r="J136" s="11">
        <v>0.53381854688220842</v>
      </c>
      <c r="K136" s="11">
        <v>0.7077492890192032</v>
      </c>
      <c r="M136" s="11" t="str">
        <f t="shared" si="46"/>
        <v>IoU 100</v>
      </c>
      <c r="N136" s="11" t="str">
        <f t="shared" si="53"/>
        <v>IoU 75</v>
      </c>
      <c r="O136" s="11" t="str">
        <f t="shared" si="54"/>
        <v>IoU 75</v>
      </c>
      <c r="Q136" s="11">
        <v>0.7440805613781587</v>
      </c>
      <c r="R136" s="11">
        <v>0.36015553559128843</v>
      </c>
      <c r="S136" s="11">
        <v>0.3082428161864017</v>
      </c>
      <c r="U136" s="11" t="str">
        <f t="shared" si="48"/>
        <v>IoU 75</v>
      </c>
      <c r="V136" s="11" t="str">
        <f t="shared" si="55"/>
        <v>IoU 50</v>
      </c>
      <c r="W136" s="11" t="str">
        <f t="shared" si="56"/>
        <v>IoU 50</v>
      </c>
      <c r="Y136">
        <v>0.53580059507370092</v>
      </c>
      <c r="Z136">
        <v>0.63649001671590733</v>
      </c>
      <c r="AA136">
        <v>0.30554493307839387</v>
      </c>
      <c r="AC136" s="11" t="str">
        <f>VLOOKUP(Y136,IoU_Thresholds,2,TRUE)</f>
        <v>IoU 75</v>
      </c>
      <c r="AD136" s="11" t="str">
        <f t="shared" si="57"/>
        <v>IoU 75</v>
      </c>
      <c r="AE136" s="11" t="str">
        <f t="shared" si="58"/>
        <v>IoU 50</v>
      </c>
      <c r="AG136">
        <v>0.90632128182628269</v>
      </c>
      <c r="AH136">
        <v>0.66679714091218512</v>
      </c>
      <c r="AI136">
        <v>0.21479395197153869</v>
      </c>
      <c r="AK136" s="11" t="str">
        <f t="shared" si="52"/>
        <v>IoU 100</v>
      </c>
      <c r="AL136" s="11" t="str">
        <f t="shared" si="59"/>
        <v>IoU 75</v>
      </c>
      <c r="AM136" s="11" t="str">
        <f t="shared" si="60"/>
        <v>IoU 25</v>
      </c>
    </row>
    <row r="137" spans="1:39" ht="15" x14ac:dyDescent="0.25">
      <c r="A137" s="11">
        <v>0.82578956838449624</v>
      </c>
      <c r="B137" s="11">
        <v>0.58493635825399803</v>
      </c>
      <c r="C137" s="11">
        <v>0.57890177217683692</v>
      </c>
      <c r="E137" s="11" t="str">
        <f t="shared" si="49"/>
        <v>IoU 100</v>
      </c>
      <c r="F137" s="11" t="str">
        <f t="shared" si="50"/>
        <v>IoU 75</v>
      </c>
      <c r="G137" s="11" t="str">
        <f t="shared" si="51"/>
        <v>IoU 75</v>
      </c>
      <c r="I137" s="11">
        <v>0.82879172987179162</v>
      </c>
      <c r="J137" s="11">
        <v>0.64801462052335257</v>
      </c>
      <c r="K137" s="11">
        <v>0.76003460738310447</v>
      </c>
      <c r="M137" s="11" t="str">
        <f t="shared" si="46"/>
        <v>IoU 100</v>
      </c>
      <c r="N137" s="11" t="str">
        <f t="shared" si="53"/>
        <v>IoU 75</v>
      </c>
      <c r="O137" s="11" t="str">
        <f t="shared" si="54"/>
        <v>IoU 100</v>
      </c>
      <c r="Q137" s="11">
        <v>0.8493308968750457</v>
      </c>
      <c r="R137" s="11">
        <v>0.53390206667272821</v>
      </c>
      <c r="S137" s="11">
        <v>0.38425601452670105</v>
      </c>
      <c r="U137" s="11" t="str">
        <f t="shared" si="48"/>
        <v>IoU 100</v>
      </c>
      <c r="V137" s="11" t="str">
        <f t="shared" si="55"/>
        <v>IoU 75</v>
      </c>
      <c r="W137" s="11" t="str">
        <f t="shared" si="56"/>
        <v>IoU 50</v>
      </c>
      <c r="Y137"/>
      <c r="Z137"/>
      <c r="AA137"/>
      <c r="AG137">
        <v>0.71038169335168355</v>
      </c>
      <c r="AH137">
        <v>0.37335018461871983</v>
      </c>
      <c r="AI137">
        <v>0.19300411522633745</v>
      </c>
      <c r="AK137" s="11" t="str">
        <f t="shared" si="52"/>
        <v>IoU 75</v>
      </c>
      <c r="AL137" s="11" t="str">
        <f t="shared" si="59"/>
        <v>IoU 50</v>
      </c>
      <c r="AM137" s="11" t="str">
        <f t="shared" si="60"/>
        <v>IoU 25</v>
      </c>
    </row>
    <row r="138" spans="1:39" ht="15" x14ac:dyDescent="0.25">
      <c r="A138" s="11">
        <v>0.85706393564319394</v>
      </c>
      <c r="B138" s="11">
        <v>0.69830127783737539</v>
      </c>
      <c r="C138" s="11">
        <v>0.71756203031073995</v>
      </c>
      <c r="E138" s="11" t="str">
        <f t="shared" si="49"/>
        <v>IoU 100</v>
      </c>
      <c r="F138" s="11" t="str">
        <f t="shared" si="50"/>
        <v>IoU 75</v>
      </c>
      <c r="G138" s="11" t="str">
        <f t="shared" si="51"/>
        <v>IoU 75</v>
      </c>
      <c r="I138" s="11">
        <v>0.7959080659358968</v>
      </c>
      <c r="J138" s="11">
        <v>0.37781104461012766</v>
      </c>
      <c r="K138" s="11">
        <v>0.69223779758204163</v>
      </c>
      <c r="M138" s="11" t="str">
        <f t="shared" ref="M138:M169" si="61">VLOOKUP(I138,IoU_Thresholds,2,TRUE)</f>
        <v>IoU 100</v>
      </c>
      <c r="N138" s="11" t="str">
        <f t="shared" si="53"/>
        <v>IoU 50</v>
      </c>
      <c r="O138" s="11" t="str">
        <f t="shared" si="54"/>
        <v>IoU 75</v>
      </c>
      <c r="Q138" s="11">
        <v>0.8331101707391011</v>
      </c>
      <c r="R138" s="11">
        <v>0.79380975633909634</v>
      </c>
      <c r="S138" s="11">
        <v>0.66343498750239838</v>
      </c>
      <c r="U138" s="11" t="str">
        <f t="shared" si="48"/>
        <v>IoU 100</v>
      </c>
      <c r="V138" s="11" t="str">
        <f t="shared" si="55"/>
        <v>IoU 100</v>
      </c>
      <c r="W138" s="11" t="str">
        <f t="shared" si="56"/>
        <v>IoU 75</v>
      </c>
      <c r="Y138">
        <v>0.65466988556568839</v>
      </c>
      <c r="Z138">
        <v>0.85822390126977366</v>
      </c>
      <c r="AA138">
        <v>0.21109457168933896</v>
      </c>
      <c r="AC138" s="11" t="str">
        <f>VLOOKUP(Y138,IoU_Thresholds,2,TRUE)</f>
        <v>IoU 75</v>
      </c>
      <c r="AD138" s="11" t="str">
        <f t="shared" si="57"/>
        <v>IoU 100</v>
      </c>
      <c r="AE138" s="11" t="str">
        <f t="shared" si="58"/>
        <v>IoU 25</v>
      </c>
      <c r="AG138">
        <v>0.46445148150624288</v>
      </c>
      <c r="AH138">
        <v>0.30263276627607588</v>
      </c>
      <c r="AI138">
        <v>0.51107185749315565</v>
      </c>
      <c r="AK138" s="11" t="str">
        <f t="shared" si="52"/>
        <v>IoU 50</v>
      </c>
      <c r="AL138" s="11" t="str">
        <f t="shared" si="59"/>
        <v>IoU 50</v>
      </c>
      <c r="AM138" s="11" t="str">
        <f t="shared" si="60"/>
        <v>IoU 75</v>
      </c>
    </row>
    <row r="139" spans="1:39" ht="15" x14ac:dyDescent="0.25">
      <c r="A139" s="11">
        <v>0.36303743722611015</v>
      </c>
      <c r="B139" s="11">
        <v>0.69900415606799782</v>
      </c>
      <c r="C139" s="11">
        <v>0.53635577338307672</v>
      </c>
      <c r="E139" s="11" t="str">
        <f t="shared" si="49"/>
        <v>IoU 50</v>
      </c>
      <c r="F139" s="11" t="str">
        <f t="shared" si="50"/>
        <v>IoU 75</v>
      </c>
      <c r="G139" s="11" t="str">
        <f t="shared" si="51"/>
        <v>IoU 75</v>
      </c>
      <c r="I139" s="11">
        <v>0.62987781334510295</v>
      </c>
      <c r="J139" s="11">
        <v>0.43099174931930595</v>
      </c>
      <c r="K139" s="11">
        <v>0.39719626168224298</v>
      </c>
      <c r="M139" s="11" t="str">
        <f t="shared" si="61"/>
        <v>IoU 75</v>
      </c>
      <c r="N139" s="11" t="str">
        <f t="shared" si="53"/>
        <v>IoU 50</v>
      </c>
      <c r="O139" s="11" t="str">
        <f t="shared" si="54"/>
        <v>IoU 50</v>
      </c>
      <c r="Q139" s="11">
        <v>0.79438460769870001</v>
      </c>
      <c r="R139" s="11">
        <v>0.78101779915777647</v>
      </c>
      <c r="S139" s="11">
        <v>0.67605718400747206</v>
      </c>
      <c r="U139" s="11" t="str">
        <f t="shared" si="48"/>
        <v>IoU 100</v>
      </c>
      <c r="V139" s="11" t="str">
        <f t="shared" si="55"/>
        <v>IoU 100</v>
      </c>
      <c r="W139" s="11" t="str">
        <f t="shared" si="56"/>
        <v>IoU 75</v>
      </c>
      <c r="Y139"/>
      <c r="Z139"/>
      <c r="AA139"/>
      <c r="AG139">
        <v>0.91020916947314756</v>
      </c>
      <c r="AH139">
        <v>0.6083015531688013</v>
      </c>
      <c r="AI139">
        <v>0.26133361890483331</v>
      </c>
      <c r="AK139" s="11" t="str">
        <f t="shared" si="52"/>
        <v>IoU 100</v>
      </c>
      <c r="AL139" s="11" t="str">
        <f t="shared" si="59"/>
        <v>IoU 75</v>
      </c>
      <c r="AM139" s="11" t="str">
        <f t="shared" si="60"/>
        <v>IoU 50</v>
      </c>
    </row>
    <row r="140" spans="1:39" ht="15" x14ac:dyDescent="0.25">
      <c r="A140" s="11">
        <v>0.768003846708744</v>
      </c>
      <c r="B140" s="11">
        <v>0.43538926413082119</v>
      </c>
      <c r="C140" s="11">
        <v>0.5386828455434024</v>
      </c>
      <c r="E140" s="11" t="str">
        <f t="shared" si="49"/>
        <v>IoU 100</v>
      </c>
      <c r="F140" s="11" t="str">
        <f t="shared" si="50"/>
        <v>IoU 50</v>
      </c>
      <c r="G140" s="11" t="str">
        <f t="shared" si="51"/>
        <v>IoU 75</v>
      </c>
      <c r="I140" s="11">
        <v>0.55369454565504206</v>
      </c>
      <c r="J140" s="11">
        <v>0.56286183316741223</v>
      </c>
      <c r="K140" s="11">
        <v>0.41729307087331402</v>
      </c>
      <c r="M140" s="11" t="str">
        <f t="shared" si="61"/>
        <v>IoU 75</v>
      </c>
      <c r="N140" s="11" t="str">
        <f t="shared" si="53"/>
        <v>IoU 75</v>
      </c>
      <c r="O140" s="11" t="str">
        <f t="shared" si="54"/>
        <v>IoU 50</v>
      </c>
      <c r="Q140" s="11">
        <v>0.85624861493160809</v>
      </c>
      <c r="R140" s="11">
        <v>0.74192524631655066</v>
      </c>
      <c r="S140" s="11">
        <v>0.56093375368732712</v>
      </c>
      <c r="U140" s="11" t="str">
        <f t="shared" si="48"/>
        <v>IoU 100</v>
      </c>
      <c r="V140" s="11" t="str">
        <f t="shared" si="55"/>
        <v>IoU 75</v>
      </c>
      <c r="W140" s="11" t="str">
        <f t="shared" si="56"/>
        <v>IoU 75</v>
      </c>
      <c r="Y140">
        <v>0.85686700138610616</v>
      </c>
      <c r="Z140">
        <v>0.87880975702416797</v>
      </c>
      <c r="AA140">
        <v>0.41514989293361887</v>
      </c>
      <c r="AC140" s="11" t="str">
        <f t="shared" ref="AC140:AC158" si="62">VLOOKUP(Y140,IoU_Thresholds,2,TRUE)</f>
        <v>IoU 100</v>
      </c>
      <c r="AD140" s="11" t="str">
        <f t="shared" si="57"/>
        <v>IoU 100</v>
      </c>
      <c r="AE140" s="11" t="str">
        <f t="shared" si="58"/>
        <v>IoU 50</v>
      </c>
      <c r="AG140">
        <v>0.86008708751104312</v>
      </c>
      <c r="AH140">
        <v>0.42042891264428184</v>
      </c>
      <c r="AI140">
        <v>0.58286879482972731</v>
      </c>
      <c r="AK140" s="11" t="str">
        <f t="shared" si="52"/>
        <v>IoU 100</v>
      </c>
      <c r="AL140" s="11" t="str">
        <f t="shared" si="59"/>
        <v>IoU 50</v>
      </c>
      <c r="AM140" s="11" t="str">
        <f t="shared" si="60"/>
        <v>IoU 75</v>
      </c>
    </row>
    <row r="141" spans="1:39" ht="15" x14ac:dyDescent="0.25">
      <c r="A141" s="11">
        <v>0.75941907600122283</v>
      </c>
      <c r="B141" s="11">
        <v>0.38506666666666667</v>
      </c>
      <c r="C141" s="11">
        <v>0.60024265822666001</v>
      </c>
      <c r="E141" s="11" t="str">
        <f t="shared" si="49"/>
        <v>IoU 100</v>
      </c>
      <c r="F141" s="11" t="str">
        <f t="shared" si="50"/>
        <v>IoU 50</v>
      </c>
      <c r="G141" s="11" t="str">
        <f t="shared" si="51"/>
        <v>IoU 75</v>
      </c>
      <c r="I141" s="11">
        <v>0.73496075925829318</v>
      </c>
      <c r="J141" s="11">
        <v>0.37126125834203061</v>
      </c>
      <c r="K141" s="11">
        <v>0.37186854376233569</v>
      </c>
      <c r="M141" s="11" t="str">
        <f t="shared" si="61"/>
        <v>IoU 75</v>
      </c>
      <c r="N141" s="11" t="str">
        <f t="shared" si="53"/>
        <v>IoU 50</v>
      </c>
      <c r="O141" s="11" t="str">
        <f t="shared" si="54"/>
        <v>IoU 50</v>
      </c>
      <c r="Q141" s="11">
        <v>0.37629429527099267</v>
      </c>
      <c r="R141" s="11">
        <v>0.35198073815469655</v>
      </c>
      <c r="S141" s="11">
        <v>0.30752105131715823</v>
      </c>
      <c r="U141" s="11" t="str">
        <f t="shared" si="48"/>
        <v>IoU 50</v>
      </c>
      <c r="V141" s="11" t="str">
        <f t="shared" si="55"/>
        <v>IoU 50</v>
      </c>
      <c r="W141" s="11" t="str">
        <f t="shared" si="56"/>
        <v>IoU 50</v>
      </c>
      <c r="Y141">
        <v>0.57988346609171892</v>
      </c>
      <c r="Z141">
        <v>0.58533768708752976</v>
      </c>
      <c r="AA141">
        <v>0.20096742654183894</v>
      </c>
      <c r="AC141" s="11" t="str">
        <f t="shared" si="62"/>
        <v>IoU 75</v>
      </c>
      <c r="AD141" s="11" t="str">
        <f t="shared" si="57"/>
        <v>IoU 75</v>
      </c>
      <c r="AE141" s="11" t="str">
        <f t="shared" si="58"/>
        <v>IoU 25</v>
      </c>
      <c r="AG141">
        <v>0.83955636833497893</v>
      </c>
      <c r="AH141">
        <v>0.48840344735453256</v>
      </c>
      <c r="AI141">
        <v>0.52555046153330687</v>
      </c>
      <c r="AK141" s="11" t="str">
        <f t="shared" si="52"/>
        <v>IoU 100</v>
      </c>
      <c r="AL141" s="11" t="str">
        <f t="shared" si="59"/>
        <v>IoU 50</v>
      </c>
      <c r="AM141" s="11" t="str">
        <f t="shared" si="60"/>
        <v>IoU 75</v>
      </c>
    </row>
    <row r="142" spans="1:39" ht="15" x14ac:dyDescent="0.25">
      <c r="A142" s="11">
        <v>0.91276424964546654</v>
      </c>
      <c r="B142" s="11">
        <v>0.73176580666055302</v>
      </c>
      <c r="C142" s="11">
        <v>0.70932067511664987</v>
      </c>
      <c r="E142" s="11" t="str">
        <f t="shared" si="49"/>
        <v>IoU 100</v>
      </c>
      <c r="F142" s="11" t="str">
        <f t="shared" si="50"/>
        <v>IoU 75</v>
      </c>
      <c r="G142" s="11" t="str">
        <f t="shared" si="51"/>
        <v>IoU 75</v>
      </c>
      <c r="I142" s="11">
        <v>0.87462259294914591</v>
      </c>
      <c r="J142" s="11">
        <v>0.73994263167215546</v>
      </c>
      <c r="K142" s="11">
        <v>0.57097158160987949</v>
      </c>
      <c r="M142" s="11" t="str">
        <f t="shared" si="61"/>
        <v>IoU 100</v>
      </c>
      <c r="N142" s="11" t="str">
        <f t="shared" si="53"/>
        <v>IoU 75</v>
      </c>
      <c r="O142" s="11" t="str">
        <f t="shared" si="54"/>
        <v>IoU 75</v>
      </c>
      <c r="Q142" s="11">
        <v>0.40457812084109662</v>
      </c>
      <c r="R142" s="11">
        <v>0.51308963987929523</v>
      </c>
      <c r="S142" s="11">
        <v>0.2591288602756262</v>
      </c>
      <c r="U142" s="11" t="str">
        <f t="shared" si="48"/>
        <v>IoU 50</v>
      </c>
      <c r="V142" s="11" t="str">
        <f t="shared" si="55"/>
        <v>IoU 75</v>
      </c>
      <c r="W142" s="11" t="str">
        <f t="shared" si="56"/>
        <v>IoU 50</v>
      </c>
      <c r="Y142">
        <v>2.0083364910951119E-2</v>
      </c>
      <c r="Z142">
        <v>0</v>
      </c>
      <c r="AA142">
        <v>0.13574488871229756</v>
      </c>
      <c r="AC142" s="11" t="str">
        <f t="shared" si="62"/>
        <v>IoU 25</v>
      </c>
      <c r="AD142" s="11" t="str">
        <f t="shared" si="57"/>
        <v>IoU 25</v>
      </c>
      <c r="AE142" s="11" t="str">
        <f t="shared" si="58"/>
        <v>IoU 25</v>
      </c>
      <c r="AG142">
        <v>0.44748289953568759</v>
      </c>
      <c r="AH142">
        <v>0.36896046084708989</v>
      </c>
      <c r="AI142">
        <v>6.0188542422044959E-2</v>
      </c>
      <c r="AK142" s="11" t="str">
        <f t="shared" si="52"/>
        <v>IoU 50</v>
      </c>
      <c r="AL142" s="11" t="str">
        <f t="shared" si="59"/>
        <v>IoU 50</v>
      </c>
      <c r="AM142" s="11" t="str">
        <f t="shared" si="60"/>
        <v>IoU 25</v>
      </c>
    </row>
    <row r="143" spans="1:39" ht="15" x14ac:dyDescent="0.25">
      <c r="A143" s="11">
        <v>0.81120914637119046</v>
      </c>
      <c r="B143" s="11">
        <v>0.3326226012793177</v>
      </c>
      <c r="C143" s="11">
        <v>0.64659868910024842</v>
      </c>
      <c r="E143" s="11" t="str">
        <f t="shared" si="49"/>
        <v>IoU 100</v>
      </c>
      <c r="F143" s="11" t="str">
        <f t="shared" si="50"/>
        <v>IoU 50</v>
      </c>
      <c r="G143" s="11" t="str">
        <f t="shared" si="51"/>
        <v>IoU 75</v>
      </c>
      <c r="I143" s="11">
        <v>0.74498719782348521</v>
      </c>
      <c r="J143" s="11">
        <v>0.36098268645470666</v>
      </c>
      <c r="K143" s="11">
        <v>0.39097055076662279</v>
      </c>
      <c r="M143" s="11" t="str">
        <f t="shared" si="61"/>
        <v>IoU 75</v>
      </c>
      <c r="N143" s="11" t="str">
        <f t="shared" si="53"/>
        <v>IoU 50</v>
      </c>
      <c r="O143" s="11" t="str">
        <f t="shared" si="54"/>
        <v>IoU 50</v>
      </c>
      <c r="Q143" s="11">
        <v>0.87496316776821292</v>
      </c>
      <c r="R143" s="11">
        <v>0.72150387208730615</v>
      </c>
      <c r="S143" s="11">
        <v>0.72210377689052108</v>
      </c>
      <c r="U143" s="11" t="str">
        <f t="shared" si="48"/>
        <v>IoU 100</v>
      </c>
      <c r="V143" s="11" t="str">
        <f t="shared" si="55"/>
        <v>IoU 75</v>
      </c>
      <c r="W143" s="11" t="str">
        <f t="shared" si="56"/>
        <v>IoU 75</v>
      </c>
      <c r="Y143">
        <v>0.36850433205333538</v>
      </c>
      <c r="Z143">
        <v>0.52419636054378538</v>
      </c>
      <c r="AA143">
        <v>0.36523169728544008</v>
      </c>
      <c r="AC143" s="11" t="str">
        <f t="shared" si="62"/>
        <v>IoU 50</v>
      </c>
      <c r="AD143" s="11" t="str">
        <f t="shared" si="57"/>
        <v>IoU 75</v>
      </c>
      <c r="AE143" s="11" t="str">
        <f t="shared" si="58"/>
        <v>IoU 50</v>
      </c>
      <c r="AG143">
        <v>0.9018760258762013</v>
      </c>
      <c r="AH143">
        <v>0.57692801287549333</v>
      </c>
      <c r="AI143">
        <v>0.386022485957561</v>
      </c>
      <c r="AK143" s="11" t="str">
        <f t="shared" si="52"/>
        <v>IoU 100</v>
      </c>
      <c r="AL143" s="11" t="str">
        <f t="shared" si="59"/>
        <v>IoU 75</v>
      </c>
      <c r="AM143" s="11" t="str">
        <f t="shared" si="60"/>
        <v>IoU 50</v>
      </c>
    </row>
    <row r="144" spans="1:39" ht="15" x14ac:dyDescent="0.25">
      <c r="A144" s="11">
        <v>0.93519937466510306</v>
      </c>
      <c r="B144" s="11">
        <v>0.77561829015813322</v>
      </c>
      <c r="C144" s="11">
        <v>0.5879331346336143</v>
      </c>
      <c r="E144" s="11" t="str">
        <f t="shared" si="49"/>
        <v>IoU 100</v>
      </c>
      <c r="F144" s="11" t="str">
        <f t="shared" si="50"/>
        <v>IoU 100</v>
      </c>
      <c r="G144" s="11" t="str">
        <f t="shared" si="51"/>
        <v>IoU 75</v>
      </c>
      <c r="I144" s="11">
        <v>0.80396996516738684</v>
      </c>
      <c r="J144" s="11">
        <v>0.73972953233914684</v>
      </c>
      <c r="K144" s="11">
        <v>0.74397150209428786</v>
      </c>
      <c r="M144" s="11" t="str">
        <f t="shared" si="61"/>
        <v>IoU 100</v>
      </c>
      <c r="N144" s="11" t="str">
        <f t="shared" si="53"/>
        <v>IoU 75</v>
      </c>
      <c r="O144" s="11" t="str">
        <f t="shared" si="54"/>
        <v>IoU 75</v>
      </c>
      <c r="Q144" s="11">
        <v>0.57967468488382679</v>
      </c>
      <c r="R144" s="11">
        <v>0.46504569606123358</v>
      </c>
      <c r="S144" s="11">
        <v>0.3792845227493653</v>
      </c>
      <c r="U144" s="11" t="str">
        <f t="shared" si="48"/>
        <v>IoU 75</v>
      </c>
      <c r="V144" s="11" t="str">
        <f t="shared" si="55"/>
        <v>IoU 50</v>
      </c>
      <c r="W144" s="11" t="str">
        <f t="shared" si="56"/>
        <v>IoU 50</v>
      </c>
      <c r="Y144">
        <v>0.40541691778332156</v>
      </c>
      <c r="Z144">
        <v>0.22429967232069464</v>
      </c>
      <c r="AA144">
        <v>0</v>
      </c>
      <c r="AC144" s="11" t="str">
        <f t="shared" si="62"/>
        <v>IoU 50</v>
      </c>
      <c r="AD144" s="11" t="str">
        <f t="shared" si="57"/>
        <v>IoU 25</v>
      </c>
      <c r="AE144" s="11" t="str">
        <f t="shared" si="58"/>
        <v>IoU 25</v>
      </c>
      <c r="AG144">
        <v>0.75351984113365178</v>
      </c>
      <c r="AH144">
        <v>0.42452769627089793</v>
      </c>
      <c r="AI144">
        <v>0.31858407079646017</v>
      </c>
      <c r="AK144" s="11" t="str">
        <f t="shared" si="52"/>
        <v>IoU 100</v>
      </c>
      <c r="AL144" s="11" t="str">
        <f t="shared" si="59"/>
        <v>IoU 50</v>
      </c>
      <c r="AM144" s="11" t="str">
        <f t="shared" si="60"/>
        <v>IoU 50</v>
      </c>
    </row>
    <row r="145" spans="1:39" ht="15" x14ac:dyDescent="0.25">
      <c r="A145" s="11">
        <v>0.82284189941050556</v>
      </c>
      <c r="B145" s="11">
        <v>0.73052594694336648</v>
      </c>
      <c r="C145" s="11">
        <v>0.72496338008205652</v>
      </c>
      <c r="E145" s="11" t="str">
        <f t="shared" si="49"/>
        <v>IoU 100</v>
      </c>
      <c r="F145" s="11" t="str">
        <f t="shared" si="50"/>
        <v>IoU 75</v>
      </c>
      <c r="G145" s="11" t="str">
        <f t="shared" si="51"/>
        <v>IoU 75</v>
      </c>
      <c r="I145" s="11">
        <v>0.47108498129342596</v>
      </c>
      <c r="J145" s="11">
        <v>0.532371716585058</v>
      </c>
      <c r="K145" s="11">
        <v>0.36268068331143233</v>
      </c>
      <c r="M145" s="11" t="str">
        <f t="shared" si="61"/>
        <v>IoU 50</v>
      </c>
      <c r="N145" s="11" t="str">
        <f t="shared" si="53"/>
        <v>IoU 75</v>
      </c>
      <c r="O145" s="11" t="str">
        <f t="shared" si="54"/>
        <v>IoU 50</v>
      </c>
      <c r="Q145" s="11">
        <v>0.43545220452288091</v>
      </c>
      <c r="R145" s="11">
        <v>0.42353524400471637</v>
      </c>
      <c r="S145" s="11">
        <v>0.2328536326753243</v>
      </c>
      <c r="U145" s="11" t="str">
        <f t="shared" si="48"/>
        <v>IoU 50</v>
      </c>
      <c r="V145" s="11" t="str">
        <f t="shared" si="55"/>
        <v>IoU 50</v>
      </c>
      <c r="W145" s="11" t="str">
        <f t="shared" si="56"/>
        <v>IoU 25</v>
      </c>
      <c r="Y145">
        <v>0.45200306382372324</v>
      </c>
      <c r="Z145">
        <v>0.67949835455586594</v>
      </c>
      <c r="AA145">
        <v>0.39063969563677747</v>
      </c>
      <c r="AC145" s="11" t="str">
        <f t="shared" si="62"/>
        <v>IoU 50</v>
      </c>
      <c r="AD145" s="11" t="str">
        <f t="shared" si="57"/>
        <v>IoU 75</v>
      </c>
      <c r="AE145" s="11" t="str">
        <f t="shared" si="58"/>
        <v>IoU 50</v>
      </c>
      <c r="AG145">
        <v>0.89910673644972605</v>
      </c>
      <c r="AH145">
        <v>0.3056430446194226</v>
      </c>
      <c r="AI145">
        <v>0.28198653198653201</v>
      </c>
      <c r="AK145" s="11" t="str">
        <f t="shared" si="52"/>
        <v>IoU 100</v>
      </c>
      <c r="AL145" s="11" t="str">
        <f t="shared" si="59"/>
        <v>IoU 50</v>
      </c>
      <c r="AM145" s="11" t="str">
        <f t="shared" si="60"/>
        <v>IoU 50</v>
      </c>
    </row>
    <row r="146" spans="1:39" ht="15" x14ac:dyDescent="0.25">
      <c r="A146" s="11">
        <v>0.5049577447374326</v>
      </c>
      <c r="B146" s="11">
        <v>0.39712335446123842</v>
      </c>
      <c r="C146" s="11">
        <v>0.34779225414693365</v>
      </c>
      <c r="E146" s="11" t="str">
        <f t="shared" si="49"/>
        <v>IoU 75</v>
      </c>
      <c r="F146" s="11" t="str">
        <f t="shared" si="50"/>
        <v>IoU 50</v>
      </c>
      <c r="G146" s="11" t="str">
        <f t="shared" si="51"/>
        <v>IoU 50</v>
      </c>
      <c r="I146" s="11">
        <v>0.76109869016622334</v>
      </c>
      <c r="J146" s="11">
        <v>0.31010846535238457</v>
      </c>
      <c r="K146" s="11">
        <v>0.2713420791402944</v>
      </c>
      <c r="M146" s="11" t="str">
        <f t="shared" si="61"/>
        <v>IoU 100</v>
      </c>
      <c r="N146" s="11" t="str">
        <f t="shared" si="53"/>
        <v>IoU 50</v>
      </c>
      <c r="O146" s="11" t="str">
        <f t="shared" si="54"/>
        <v>IoU 50</v>
      </c>
      <c r="Q146" s="11">
        <v>0.78758415128597337</v>
      </c>
      <c r="R146" s="11">
        <v>0.67227692897046576</v>
      </c>
      <c r="S146" s="11">
        <v>0.77732561990214899</v>
      </c>
      <c r="U146" s="11" t="str">
        <f t="shared" si="48"/>
        <v>IoU 100</v>
      </c>
      <c r="V146" s="11" t="str">
        <f t="shared" si="55"/>
        <v>IoU 75</v>
      </c>
      <c r="W146" s="11" t="str">
        <f t="shared" si="56"/>
        <v>IoU 100</v>
      </c>
      <c r="Y146">
        <v>0.81327341026269062</v>
      </c>
      <c r="Z146">
        <v>0.57374227775023301</v>
      </c>
      <c r="AA146">
        <v>0.56732791511218672</v>
      </c>
      <c r="AC146" s="11" t="str">
        <f t="shared" si="62"/>
        <v>IoU 100</v>
      </c>
      <c r="AD146" s="11" t="str">
        <f t="shared" si="57"/>
        <v>IoU 75</v>
      </c>
      <c r="AE146" s="11" t="str">
        <f t="shared" si="58"/>
        <v>IoU 75</v>
      </c>
      <c r="AG146">
        <v>0.40661602896287358</v>
      </c>
      <c r="AH146">
        <v>0.29302542260082526</v>
      </c>
      <c r="AI146">
        <v>0.18804112165869402</v>
      </c>
      <c r="AK146" s="11" t="str">
        <f t="shared" si="52"/>
        <v>IoU 50</v>
      </c>
      <c r="AL146" s="11" t="str">
        <f t="shared" si="59"/>
        <v>IoU 50</v>
      </c>
      <c r="AM146" s="11" t="str">
        <f t="shared" si="60"/>
        <v>IoU 25</v>
      </c>
    </row>
    <row r="147" spans="1:39" ht="15" x14ac:dyDescent="0.25">
      <c r="A147" s="11">
        <v>0.40859247589072656</v>
      </c>
      <c r="B147" s="11">
        <v>0.50457187308423668</v>
      </c>
      <c r="C147" s="11">
        <v>0.53727212188408568</v>
      </c>
      <c r="E147" s="11" t="str">
        <f t="shared" si="49"/>
        <v>IoU 50</v>
      </c>
      <c r="F147" s="11" t="str">
        <f t="shared" si="50"/>
        <v>IoU 75</v>
      </c>
      <c r="G147" s="11" t="str">
        <f t="shared" si="51"/>
        <v>IoU 75</v>
      </c>
      <c r="I147" s="11">
        <v>0.79468719828174739</v>
      </c>
      <c r="J147" s="11">
        <v>0.68614873678140742</v>
      </c>
      <c r="K147" s="11">
        <v>0.38100243156826835</v>
      </c>
      <c r="M147" s="11" t="str">
        <f t="shared" si="61"/>
        <v>IoU 100</v>
      </c>
      <c r="N147" s="11" t="str">
        <f t="shared" si="53"/>
        <v>IoU 75</v>
      </c>
      <c r="O147" s="11" t="str">
        <f t="shared" si="54"/>
        <v>IoU 50</v>
      </c>
      <c r="Q147" s="11">
        <v>0.9071127784936257</v>
      </c>
      <c r="R147" s="11">
        <v>0.79221218299394724</v>
      </c>
      <c r="S147" s="11">
        <v>0.60267419095226327</v>
      </c>
      <c r="U147" s="11" t="str">
        <f t="shared" si="48"/>
        <v>IoU 100</v>
      </c>
      <c r="V147" s="11" t="str">
        <f t="shared" si="55"/>
        <v>IoU 100</v>
      </c>
      <c r="W147" s="11" t="str">
        <f t="shared" si="56"/>
        <v>IoU 75</v>
      </c>
      <c r="Y147">
        <v>0.5619599529904753</v>
      </c>
      <c r="Z147">
        <v>0.75391427960574209</v>
      </c>
      <c r="AA147">
        <v>0.31671554252199413</v>
      </c>
      <c r="AC147" s="11" t="str">
        <f t="shared" si="62"/>
        <v>IoU 75</v>
      </c>
      <c r="AD147" s="11" t="str">
        <f t="shared" si="57"/>
        <v>IoU 100</v>
      </c>
      <c r="AE147" s="11" t="str">
        <f t="shared" si="58"/>
        <v>IoU 50</v>
      </c>
      <c r="AG147">
        <v>0.8733390197698494</v>
      </c>
      <c r="AH147">
        <v>0.67818037836896417</v>
      </c>
      <c r="AI147">
        <v>0.58570167090216607</v>
      </c>
      <c r="AK147" s="11" t="str">
        <f t="shared" si="52"/>
        <v>IoU 100</v>
      </c>
      <c r="AL147" s="11" t="str">
        <f t="shared" si="59"/>
        <v>IoU 75</v>
      </c>
      <c r="AM147" s="11" t="str">
        <f t="shared" si="60"/>
        <v>IoU 75</v>
      </c>
    </row>
    <row r="148" spans="1:39" ht="15" x14ac:dyDescent="0.25">
      <c r="A148" s="11">
        <v>0.44389834458111838</v>
      </c>
      <c r="B148" s="11">
        <v>0.52601492654905946</v>
      </c>
      <c r="C148" s="11">
        <v>0.23062367864882355</v>
      </c>
      <c r="E148" s="11" t="str">
        <f t="shared" si="49"/>
        <v>IoU 50</v>
      </c>
      <c r="F148" s="11" t="str">
        <f t="shared" si="50"/>
        <v>IoU 75</v>
      </c>
      <c r="G148" s="11" t="str">
        <f t="shared" si="51"/>
        <v>IoU 25</v>
      </c>
      <c r="I148" s="11">
        <v>0.78495959255240333</v>
      </c>
      <c r="J148" s="11">
        <v>0.70003245511644474</v>
      </c>
      <c r="K148" s="11">
        <v>0.57094278189573999</v>
      </c>
      <c r="M148" s="11" t="str">
        <f t="shared" si="61"/>
        <v>IoU 100</v>
      </c>
      <c r="N148" s="11" t="str">
        <f t="shared" si="53"/>
        <v>IoU 75</v>
      </c>
      <c r="O148" s="11" t="str">
        <f t="shared" si="54"/>
        <v>IoU 75</v>
      </c>
      <c r="Q148" s="11">
        <v>0.81548960257430103</v>
      </c>
      <c r="R148" s="11">
        <v>0.59727160144765268</v>
      </c>
      <c r="S148" s="11">
        <v>0.70331979381569876</v>
      </c>
      <c r="U148" s="11" t="str">
        <f t="shared" si="48"/>
        <v>IoU 100</v>
      </c>
      <c r="V148" s="11" t="str">
        <f t="shared" si="55"/>
        <v>IoU 75</v>
      </c>
      <c r="W148" s="11" t="str">
        <f t="shared" si="56"/>
        <v>IoU 75</v>
      </c>
      <c r="Y148">
        <v>0.16105604421601549</v>
      </c>
      <c r="Z148">
        <v>1.040229382676817E-2</v>
      </c>
      <c r="AA148">
        <v>3.3068783068783067E-2</v>
      </c>
      <c r="AC148" s="11" t="str">
        <f t="shared" si="62"/>
        <v>IoU 25</v>
      </c>
      <c r="AD148" s="11" t="str">
        <f t="shared" si="57"/>
        <v>IoU 25</v>
      </c>
      <c r="AE148" s="11" t="str">
        <f t="shared" si="58"/>
        <v>IoU 25</v>
      </c>
      <c r="AG148">
        <v>0.7816412515066915</v>
      </c>
      <c r="AH148">
        <v>0.39385847797062751</v>
      </c>
      <c r="AI148">
        <v>0.16244493392070486</v>
      </c>
      <c r="AK148" s="11" t="str">
        <f t="shared" si="52"/>
        <v>IoU 100</v>
      </c>
      <c r="AL148" s="11" t="str">
        <f t="shared" si="59"/>
        <v>IoU 50</v>
      </c>
      <c r="AM148" s="11" t="str">
        <f t="shared" si="60"/>
        <v>IoU 25</v>
      </c>
    </row>
    <row r="149" spans="1:39" ht="15" x14ac:dyDescent="0.25">
      <c r="A149" s="11">
        <v>0.82663148464009228</v>
      </c>
      <c r="B149" s="11">
        <v>0.70156244057135653</v>
      </c>
      <c r="C149" s="11">
        <v>0.27638770800437262</v>
      </c>
      <c r="E149" s="11" t="str">
        <f t="shared" si="49"/>
        <v>IoU 100</v>
      </c>
      <c r="F149" s="11" t="str">
        <f t="shared" si="50"/>
        <v>IoU 75</v>
      </c>
      <c r="G149" s="11" t="str">
        <f t="shared" si="51"/>
        <v>IoU 50</v>
      </c>
      <c r="I149" s="11">
        <v>0.75840358659070395</v>
      </c>
      <c r="J149" s="11">
        <v>0.32321848288019139</v>
      </c>
      <c r="K149" s="11">
        <v>0.34855379141205978</v>
      </c>
      <c r="M149" s="11" t="str">
        <f t="shared" si="61"/>
        <v>IoU 100</v>
      </c>
      <c r="N149" s="11" t="str">
        <f t="shared" si="53"/>
        <v>IoU 50</v>
      </c>
      <c r="O149" s="11" t="str">
        <f t="shared" si="54"/>
        <v>IoU 50</v>
      </c>
      <c r="Q149" s="11">
        <v>0.60236500234457968</v>
      </c>
      <c r="R149" s="11">
        <v>0.37650936091624937</v>
      </c>
      <c r="S149" s="11">
        <v>0.37237882563316782</v>
      </c>
      <c r="U149" s="11" t="str">
        <f t="shared" si="48"/>
        <v>IoU 75</v>
      </c>
      <c r="V149" s="11" t="str">
        <f t="shared" si="55"/>
        <v>IoU 50</v>
      </c>
      <c r="W149" s="11" t="str">
        <f t="shared" si="56"/>
        <v>IoU 50</v>
      </c>
      <c r="Y149">
        <v>0.44433117958605173</v>
      </c>
      <c r="Z149">
        <v>0.25943303014272312</v>
      </c>
      <c r="AA149">
        <v>0</v>
      </c>
      <c r="AC149" s="11" t="str">
        <f t="shared" si="62"/>
        <v>IoU 50</v>
      </c>
      <c r="AD149" s="11" t="str">
        <f t="shared" si="57"/>
        <v>IoU 50</v>
      </c>
      <c r="AE149" s="11" t="str">
        <f t="shared" si="58"/>
        <v>IoU 25</v>
      </c>
      <c r="AG149">
        <v>0.47865064301760329</v>
      </c>
      <c r="AH149">
        <v>0.37653086728317919</v>
      </c>
      <c r="AI149">
        <v>0.22889755320348421</v>
      </c>
      <c r="AK149" s="11" t="str">
        <f t="shared" si="52"/>
        <v>IoU 50</v>
      </c>
      <c r="AL149" s="11" t="str">
        <f t="shared" si="59"/>
        <v>IoU 50</v>
      </c>
      <c r="AM149" s="11" t="str">
        <f t="shared" si="60"/>
        <v>IoU 25</v>
      </c>
    </row>
    <row r="150" spans="1:39" ht="15" x14ac:dyDescent="0.25">
      <c r="A150" s="11">
        <v>0.55756661512548755</v>
      </c>
      <c r="B150" s="11">
        <v>0.3521105141980046</v>
      </c>
      <c r="C150" s="11">
        <v>0.61846855741234408</v>
      </c>
      <c r="E150" s="11" t="str">
        <f t="shared" si="49"/>
        <v>IoU 75</v>
      </c>
      <c r="F150" s="11" t="str">
        <f t="shared" si="50"/>
        <v>IoU 50</v>
      </c>
      <c r="G150" s="11" t="str">
        <f t="shared" si="51"/>
        <v>IoU 75</v>
      </c>
      <c r="I150" s="11">
        <v>0.76419841328058302</v>
      </c>
      <c r="J150" s="11">
        <v>0.53613175960414461</v>
      </c>
      <c r="K150" s="11">
        <v>0.6862813049715033</v>
      </c>
      <c r="M150" s="11" t="str">
        <f t="shared" si="61"/>
        <v>IoU 100</v>
      </c>
      <c r="N150" s="11" t="str">
        <f t="shared" si="53"/>
        <v>IoU 75</v>
      </c>
      <c r="O150" s="11" t="str">
        <f t="shared" si="54"/>
        <v>IoU 75</v>
      </c>
      <c r="Q150" s="11">
        <v>0.86455233044316881</v>
      </c>
      <c r="R150" s="11">
        <v>0.72217780574766754</v>
      </c>
      <c r="S150" s="11">
        <v>0.68349224299232669</v>
      </c>
      <c r="U150" s="11" t="str">
        <f t="shared" si="48"/>
        <v>IoU 100</v>
      </c>
      <c r="V150" s="11" t="str">
        <f t="shared" si="55"/>
        <v>IoU 75</v>
      </c>
      <c r="W150" s="11" t="str">
        <f t="shared" si="56"/>
        <v>IoU 75</v>
      </c>
      <c r="Y150">
        <v>0.16852546268606614</v>
      </c>
      <c r="Z150">
        <v>5.0478097904907799E-3</v>
      </c>
      <c r="AA150">
        <v>3.9293766287002603E-2</v>
      </c>
      <c r="AC150" s="11" t="str">
        <f t="shared" si="62"/>
        <v>IoU 25</v>
      </c>
      <c r="AD150" s="11" t="str">
        <f t="shared" si="57"/>
        <v>IoU 25</v>
      </c>
      <c r="AE150" s="11" t="str">
        <f t="shared" si="58"/>
        <v>IoU 25</v>
      </c>
      <c r="AG150">
        <v>0.87884861973478401</v>
      </c>
      <c r="AH150">
        <v>0.74765148761291578</v>
      </c>
      <c r="AI150">
        <v>0.6066112387412026</v>
      </c>
      <c r="AK150" s="11" t="str">
        <f t="shared" si="52"/>
        <v>IoU 100</v>
      </c>
      <c r="AL150" s="11" t="str">
        <f t="shared" si="59"/>
        <v>IoU 75</v>
      </c>
      <c r="AM150" s="11" t="str">
        <f t="shared" si="60"/>
        <v>IoU 75</v>
      </c>
    </row>
    <row r="151" spans="1:39" ht="15" x14ac:dyDescent="0.25">
      <c r="A151" s="11">
        <v>0.89540732903497156</v>
      </c>
      <c r="B151" s="11">
        <v>0.71506076998469392</v>
      </c>
      <c r="C151" s="11">
        <v>0.5423386646783479</v>
      </c>
      <c r="E151" s="11" t="str">
        <f t="shared" si="49"/>
        <v>IoU 100</v>
      </c>
      <c r="F151" s="11" t="str">
        <f t="shared" si="50"/>
        <v>IoU 75</v>
      </c>
      <c r="G151" s="11" t="str">
        <f t="shared" si="51"/>
        <v>IoU 75</v>
      </c>
      <c r="I151" s="11">
        <v>0.61103240827117156</v>
      </c>
      <c r="J151" s="11">
        <v>0.34265072145921194</v>
      </c>
      <c r="K151" s="11">
        <v>0.46514136912433857</v>
      </c>
      <c r="M151" s="11" t="str">
        <f t="shared" si="61"/>
        <v>IoU 75</v>
      </c>
      <c r="N151" s="11" t="str">
        <f t="shared" si="53"/>
        <v>IoU 50</v>
      </c>
      <c r="O151" s="11" t="str">
        <f t="shared" si="54"/>
        <v>IoU 50</v>
      </c>
      <c r="Q151" s="11">
        <v>0.79656308547295196</v>
      </c>
      <c r="R151" s="11">
        <v>0.72899453647233792</v>
      </c>
      <c r="S151" s="11">
        <v>0.70526988590968642</v>
      </c>
      <c r="U151" s="11" t="str">
        <f t="shared" ref="U151:U182" si="63">VLOOKUP(Q151,IoU_Thresholds,2,TRUE)</f>
        <v>IoU 100</v>
      </c>
      <c r="V151" s="11" t="str">
        <f t="shared" si="55"/>
        <v>IoU 75</v>
      </c>
      <c r="W151" s="11" t="str">
        <f t="shared" si="56"/>
        <v>IoU 75</v>
      </c>
      <c r="Y151">
        <v>0.64086507978868379</v>
      </c>
      <c r="Z151">
        <v>0.54436874469054675</v>
      </c>
      <c r="AA151">
        <v>0.30787037037037035</v>
      </c>
      <c r="AC151" s="11" t="str">
        <f t="shared" si="62"/>
        <v>IoU 75</v>
      </c>
      <c r="AD151" s="11" t="str">
        <f t="shared" si="57"/>
        <v>IoU 75</v>
      </c>
      <c r="AE151" s="11" t="str">
        <f t="shared" si="58"/>
        <v>IoU 50</v>
      </c>
      <c r="AG151">
        <v>0.80418750044695164</v>
      </c>
      <c r="AH151">
        <v>0.32603376559823832</v>
      </c>
      <c r="AI151">
        <v>0.23421588594704684</v>
      </c>
      <c r="AK151" s="11" t="str">
        <f t="shared" si="52"/>
        <v>IoU 100</v>
      </c>
      <c r="AL151" s="11" t="str">
        <f t="shared" si="59"/>
        <v>IoU 50</v>
      </c>
      <c r="AM151" s="11" t="str">
        <f t="shared" si="60"/>
        <v>IoU 25</v>
      </c>
    </row>
    <row r="152" spans="1:39" ht="15" x14ac:dyDescent="0.25">
      <c r="A152" s="11">
        <v>0.85878224543463166</v>
      </c>
      <c r="B152" s="11">
        <v>0.79236674422923126</v>
      </c>
      <c r="C152" s="11">
        <v>0.80190731164706319</v>
      </c>
      <c r="E152" s="11" t="str">
        <f t="shared" si="49"/>
        <v>IoU 100</v>
      </c>
      <c r="F152" s="11" t="str">
        <f t="shared" si="50"/>
        <v>IoU 100</v>
      </c>
      <c r="G152" s="11" t="str">
        <f t="shared" si="51"/>
        <v>IoU 100</v>
      </c>
      <c r="I152" s="11">
        <v>0.83091458663485696</v>
      </c>
      <c r="J152" s="11">
        <v>0.8196775102437257</v>
      </c>
      <c r="K152" s="11">
        <v>0.65421980538383073</v>
      </c>
      <c r="M152" s="11" t="str">
        <f t="shared" si="61"/>
        <v>IoU 100</v>
      </c>
      <c r="N152" s="11" t="str">
        <f t="shared" si="53"/>
        <v>IoU 100</v>
      </c>
      <c r="O152" s="11" t="str">
        <f t="shared" si="54"/>
        <v>IoU 75</v>
      </c>
      <c r="Q152" s="11">
        <v>0.42699429343877371</v>
      </c>
      <c r="R152" s="11">
        <v>0.27493911689674083</v>
      </c>
      <c r="S152" s="11">
        <v>0.22332184112162359</v>
      </c>
      <c r="U152" s="11" t="str">
        <f t="shared" si="63"/>
        <v>IoU 50</v>
      </c>
      <c r="V152" s="11" t="str">
        <f t="shared" si="55"/>
        <v>IoU 50</v>
      </c>
      <c r="W152" s="11" t="str">
        <f t="shared" si="56"/>
        <v>IoU 25</v>
      </c>
      <c r="Y152">
        <v>0.58978411562001254</v>
      </c>
      <c r="Z152">
        <v>0.36757775683317623</v>
      </c>
      <c r="AA152">
        <v>0.27970985047486363</v>
      </c>
      <c r="AC152" s="11" t="str">
        <f t="shared" si="62"/>
        <v>IoU 75</v>
      </c>
      <c r="AD152" s="11" t="str">
        <f t="shared" si="57"/>
        <v>IoU 50</v>
      </c>
      <c r="AE152" s="11" t="str">
        <f t="shared" si="58"/>
        <v>IoU 50</v>
      </c>
      <c r="AG152">
        <v>0.39097794313048101</v>
      </c>
      <c r="AH152">
        <v>0.42050655923599045</v>
      </c>
      <c r="AI152">
        <v>0.25910364145658266</v>
      </c>
      <c r="AK152" s="11" t="str">
        <f t="shared" si="52"/>
        <v>IoU 50</v>
      </c>
      <c r="AL152" s="11" t="str">
        <f t="shared" si="59"/>
        <v>IoU 50</v>
      </c>
      <c r="AM152" s="11" t="str">
        <f t="shared" si="60"/>
        <v>IoU 50</v>
      </c>
    </row>
    <row r="153" spans="1:39" ht="15" x14ac:dyDescent="0.25">
      <c r="A153" s="11">
        <v>0.85253059646936025</v>
      </c>
      <c r="B153" s="11">
        <v>0.62734600546186514</v>
      </c>
      <c r="C153" s="11">
        <v>0.58073226566495095</v>
      </c>
      <c r="E153" s="11" t="str">
        <f t="shared" si="49"/>
        <v>IoU 100</v>
      </c>
      <c r="F153" s="11" t="str">
        <f t="shared" si="50"/>
        <v>IoU 75</v>
      </c>
      <c r="G153" s="11" t="str">
        <f t="shared" si="51"/>
        <v>IoU 75</v>
      </c>
      <c r="I153" s="11">
        <v>0.61747840783715957</v>
      </c>
      <c r="J153" s="11">
        <v>0.50454414539483028</v>
      </c>
      <c r="K153" s="11">
        <v>0.68405957282493124</v>
      </c>
      <c r="M153" s="11" t="str">
        <f t="shared" si="61"/>
        <v>IoU 75</v>
      </c>
      <c r="N153" s="11" t="str">
        <f t="shared" si="53"/>
        <v>IoU 75</v>
      </c>
      <c r="O153" s="11" t="str">
        <f t="shared" si="54"/>
        <v>IoU 75</v>
      </c>
      <c r="Q153" s="11">
        <v>0.83833460451251007</v>
      </c>
      <c r="R153" s="11">
        <v>0.67767495528050481</v>
      </c>
      <c r="S153" s="11">
        <v>0.49633693409673252</v>
      </c>
      <c r="U153" s="11" t="str">
        <f t="shared" si="63"/>
        <v>IoU 100</v>
      </c>
      <c r="V153" s="11" t="str">
        <f t="shared" si="55"/>
        <v>IoU 75</v>
      </c>
      <c r="W153" s="11" t="str">
        <f t="shared" si="56"/>
        <v>IoU 50</v>
      </c>
      <c r="Y153">
        <v>0.80443851912395448</v>
      </c>
      <c r="Z153">
        <v>0.28174545958588865</v>
      </c>
      <c r="AA153">
        <v>0.26817288801571709</v>
      </c>
      <c r="AC153" s="11" t="str">
        <f t="shared" si="62"/>
        <v>IoU 100</v>
      </c>
      <c r="AD153" s="11" t="str">
        <f t="shared" si="57"/>
        <v>IoU 50</v>
      </c>
      <c r="AE153" s="11" t="str">
        <f t="shared" si="58"/>
        <v>IoU 50</v>
      </c>
      <c r="AG153">
        <v>0.88575517103926993</v>
      </c>
      <c r="AH153">
        <v>0.66855875491624328</v>
      </c>
      <c r="AI153">
        <v>0.42239790341167749</v>
      </c>
      <c r="AK153" s="11" t="str">
        <f t="shared" si="52"/>
        <v>IoU 100</v>
      </c>
      <c r="AL153" s="11" t="str">
        <f t="shared" si="59"/>
        <v>IoU 75</v>
      </c>
      <c r="AM153" s="11" t="str">
        <f t="shared" si="60"/>
        <v>IoU 50</v>
      </c>
    </row>
    <row r="154" spans="1:39" ht="15" x14ac:dyDescent="0.25">
      <c r="A154" s="11">
        <v>0.2570786679502397</v>
      </c>
      <c r="B154" s="11">
        <v>0.19687588918974236</v>
      </c>
      <c r="C154" s="11">
        <v>7.8512396694214878E-2</v>
      </c>
      <c r="E154" s="11" t="str">
        <f t="shared" si="49"/>
        <v>IoU 50</v>
      </c>
      <c r="F154" s="11" t="str">
        <f t="shared" si="50"/>
        <v>IoU 25</v>
      </c>
      <c r="G154" s="11" t="str">
        <f t="shared" si="51"/>
        <v>IoU 25</v>
      </c>
      <c r="I154" s="11">
        <v>0.79351076179784008</v>
      </c>
      <c r="J154" s="11">
        <v>0.32294206633877454</v>
      </c>
      <c r="K154" s="11">
        <v>0.41665683102416523</v>
      </c>
      <c r="M154" s="11" t="str">
        <f t="shared" si="61"/>
        <v>IoU 100</v>
      </c>
      <c r="N154" s="11" t="str">
        <f t="shared" si="53"/>
        <v>IoU 50</v>
      </c>
      <c r="O154" s="11" t="str">
        <f t="shared" si="54"/>
        <v>IoU 50</v>
      </c>
      <c r="Q154" s="11">
        <v>0.3936473583226055</v>
      </c>
      <c r="R154" s="11">
        <v>0.5033658245001249</v>
      </c>
      <c r="S154" s="11">
        <v>0.4689501899608105</v>
      </c>
      <c r="U154" s="11" t="str">
        <f t="shared" si="63"/>
        <v>IoU 50</v>
      </c>
      <c r="V154" s="11" t="str">
        <f t="shared" si="55"/>
        <v>IoU 75</v>
      </c>
      <c r="W154" s="11" t="str">
        <f t="shared" si="56"/>
        <v>IoU 50</v>
      </c>
      <c r="Y154">
        <v>0.81044015754563403</v>
      </c>
      <c r="Z154">
        <v>0.70075497972775813</v>
      </c>
      <c r="AA154">
        <v>0.64760175440979317</v>
      </c>
      <c r="AC154" s="11" t="str">
        <f t="shared" si="62"/>
        <v>IoU 100</v>
      </c>
      <c r="AD154" s="11" t="str">
        <f t="shared" si="57"/>
        <v>IoU 75</v>
      </c>
      <c r="AE154" s="11" t="str">
        <f t="shared" si="58"/>
        <v>IoU 75</v>
      </c>
      <c r="AG154">
        <v>0.42108231859053052</v>
      </c>
      <c r="AH154">
        <v>0.7100617266813094</v>
      </c>
      <c r="AI154">
        <v>0.53016701981005177</v>
      </c>
      <c r="AK154" s="11" t="str">
        <f t="shared" si="52"/>
        <v>IoU 50</v>
      </c>
      <c r="AL154" s="11" t="str">
        <f t="shared" si="59"/>
        <v>IoU 75</v>
      </c>
      <c r="AM154" s="11" t="str">
        <f t="shared" si="60"/>
        <v>IoU 75</v>
      </c>
    </row>
    <row r="155" spans="1:39" ht="15" x14ac:dyDescent="0.25">
      <c r="A155" s="11">
        <v>0.62558414758008662</v>
      </c>
      <c r="B155" s="11">
        <v>0.63391681377967002</v>
      </c>
      <c r="C155" s="11">
        <v>0.24914522274909226</v>
      </c>
      <c r="E155" s="11" t="str">
        <f t="shared" si="49"/>
        <v>IoU 75</v>
      </c>
      <c r="F155" s="11" t="str">
        <f t="shared" si="50"/>
        <v>IoU 75</v>
      </c>
      <c r="G155" s="11" t="str">
        <f t="shared" si="51"/>
        <v>IoU 25</v>
      </c>
      <c r="I155" s="11">
        <v>0.44398766700924974</v>
      </c>
      <c r="J155" s="11">
        <v>0.50803529164795291</v>
      </c>
      <c r="K155" s="11">
        <v>0.22076461769115444</v>
      </c>
      <c r="M155" s="11" t="str">
        <f t="shared" si="61"/>
        <v>IoU 50</v>
      </c>
      <c r="N155" s="11" t="str">
        <f t="shared" si="53"/>
        <v>IoU 75</v>
      </c>
      <c r="O155" s="11" t="str">
        <f t="shared" si="54"/>
        <v>IoU 25</v>
      </c>
      <c r="Q155" s="11">
        <v>0.73250663821147821</v>
      </c>
      <c r="R155" s="11">
        <v>0.24577311477011274</v>
      </c>
      <c r="S155" s="11">
        <v>0.40900783620329045</v>
      </c>
      <c r="U155" s="11" t="str">
        <f t="shared" si="63"/>
        <v>IoU 75</v>
      </c>
      <c r="V155" s="11" t="str">
        <f t="shared" si="55"/>
        <v>IoU 25</v>
      </c>
      <c r="W155" s="11" t="str">
        <f t="shared" si="56"/>
        <v>IoU 50</v>
      </c>
      <c r="Y155">
        <v>0.86006107191592929</v>
      </c>
      <c r="Z155">
        <v>0.66386761028719543</v>
      </c>
      <c r="AA155">
        <v>0.47954019358759048</v>
      </c>
      <c r="AC155" s="11" t="str">
        <f t="shared" si="62"/>
        <v>IoU 100</v>
      </c>
      <c r="AD155" s="11" t="str">
        <f t="shared" si="57"/>
        <v>IoU 75</v>
      </c>
      <c r="AE155" s="11" t="str">
        <f t="shared" si="58"/>
        <v>IoU 50</v>
      </c>
      <c r="AG155">
        <v>0.8566635144870498</v>
      </c>
      <c r="AH155">
        <v>0.64009325554948082</v>
      </c>
      <c r="AI155">
        <v>0.20413718018508437</v>
      </c>
      <c r="AK155" s="11" t="str">
        <f t="shared" si="52"/>
        <v>IoU 100</v>
      </c>
      <c r="AL155" s="11" t="str">
        <f t="shared" si="59"/>
        <v>IoU 75</v>
      </c>
      <c r="AM155" s="11" t="str">
        <f t="shared" si="60"/>
        <v>IoU 25</v>
      </c>
    </row>
    <row r="156" spans="1:39" ht="15" x14ac:dyDescent="0.25">
      <c r="A156" s="11">
        <v>0.89068096879979575</v>
      </c>
      <c r="B156" s="11">
        <v>0.68506513367802246</v>
      </c>
      <c r="C156" s="11">
        <v>0.61694076280150123</v>
      </c>
      <c r="E156" s="11" t="str">
        <f t="shared" si="49"/>
        <v>IoU 100</v>
      </c>
      <c r="F156" s="11" t="str">
        <f t="shared" si="50"/>
        <v>IoU 75</v>
      </c>
      <c r="G156" s="11" t="str">
        <f t="shared" si="51"/>
        <v>IoU 75</v>
      </c>
      <c r="I156" s="11">
        <v>0.82685785502155995</v>
      </c>
      <c r="J156" s="11">
        <v>0.7320389819654578</v>
      </c>
      <c r="K156" s="11">
        <v>0.50075841630772278</v>
      </c>
      <c r="M156" s="11" t="str">
        <f t="shared" si="61"/>
        <v>IoU 100</v>
      </c>
      <c r="N156" s="11" t="str">
        <f t="shared" si="53"/>
        <v>IoU 75</v>
      </c>
      <c r="O156" s="11" t="str">
        <f t="shared" si="54"/>
        <v>IoU 75</v>
      </c>
      <c r="Q156" s="11">
        <v>0.77008658005522557</v>
      </c>
      <c r="R156" s="11">
        <v>0.86975218105024565</v>
      </c>
      <c r="S156" s="11">
        <v>0.72300923281955465</v>
      </c>
      <c r="U156" s="11" t="str">
        <f t="shared" si="63"/>
        <v>IoU 100</v>
      </c>
      <c r="V156" s="11" t="str">
        <f t="shared" si="55"/>
        <v>IoU 100</v>
      </c>
      <c r="W156" s="11" t="str">
        <f t="shared" si="56"/>
        <v>IoU 75</v>
      </c>
      <c r="Y156">
        <v>0.505265883581693</v>
      </c>
      <c r="Z156">
        <v>0.65451362221540432</v>
      </c>
      <c r="AA156">
        <v>0.2603969754253308</v>
      </c>
      <c r="AC156" s="11" t="str">
        <f t="shared" si="62"/>
        <v>IoU 75</v>
      </c>
      <c r="AD156" s="11" t="str">
        <f t="shared" si="57"/>
        <v>IoU 75</v>
      </c>
      <c r="AE156" s="11" t="str">
        <f t="shared" si="58"/>
        <v>IoU 50</v>
      </c>
      <c r="AG156">
        <v>0.88049673399075568</v>
      </c>
      <c r="AH156">
        <v>0.6834241916118855</v>
      </c>
      <c r="AI156">
        <v>0.40434900304354615</v>
      </c>
      <c r="AK156" s="11" t="str">
        <f t="shared" si="52"/>
        <v>IoU 100</v>
      </c>
      <c r="AL156" s="11" t="str">
        <f t="shared" si="59"/>
        <v>IoU 75</v>
      </c>
      <c r="AM156" s="11" t="str">
        <f t="shared" si="60"/>
        <v>IoU 50</v>
      </c>
    </row>
    <row r="157" spans="1:39" ht="15" x14ac:dyDescent="0.25">
      <c r="A157" s="11">
        <v>0.43612774451097802</v>
      </c>
      <c r="B157" s="11">
        <v>0.34838562290587877</v>
      </c>
      <c r="C157" s="11">
        <v>0.43250445106240526</v>
      </c>
      <c r="E157" s="11" t="str">
        <f t="shared" si="49"/>
        <v>IoU 50</v>
      </c>
      <c r="F157" s="11" t="str">
        <f t="shared" si="50"/>
        <v>IoU 50</v>
      </c>
      <c r="G157" s="11" t="str">
        <f t="shared" si="51"/>
        <v>IoU 50</v>
      </c>
      <c r="I157" s="11">
        <v>0.87163595075390587</v>
      </c>
      <c r="J157" s="11">
        <v>0.64848326016102509</v>
      </c>
      <c r="K157" s="11">
        <v>0.65810674666687707</v>
      </c>
      <c r="M157" s="11" t="str">
        <f t="shared" si="61"/>
        <v>IoU 100</v>
      </c>
      <c r="N157" s="11" t="str">
        <f t="shared" si="53"/>
        <v>IoU 75</v>
      </c>
      <c r="O157" s="11" t="str">
        <f t="shared" si="54"/>
        <v>IoU 75</v>
      </c>
      <c r="Q157" s="11">
        <v>0.74807779760593029</v>
      </c>
      <c r="R157" s="11">
        <v>0.47183708838821492</v>
      </c>
      <c r="S157" s="11">
        <v>0.22715926110833751</v>
      </c>
      <c r="U157" s="11" t="str">
        <f t="shared" si="63"/>
        <v>IoU 75</v>
      </c>
      <c r="V157" s="11" t="str">
        <f t="shared" si="55"/>
        <v>IoU 50</v>
      </c>
      <c r="W157" s="11" t="str">
        <f t="shared" si="56"/>
        <v>IoU 25</v>
      </c>
      <c r="Y157">
        <v>0.80950076011267647</v>
      </c>
      <c r="Z157">
        <v>0.57091545754133932</v>
      </c>
      <c r="AA157">
        <v>0.2398286937901499</v>
      </c>
      <c r="AC157" s="11" t="str">
        <f t="shared" si="62"/>
        <v>IoU 100</v>
      </c>
      <c r="AD157" s="11" t="str">
        <f t="shared" si="57"/>
        <v>IoU 75</v>
      </c>
      <c r="AE157" s="11" t="str">
        <f t="shared" si="58"/>
        <v>IoU 25</v>
      </c>
      <c r="AG157">
        <v>0.86103486313280164</v>
      </c>
      <c r="AH157">
        <v>0.75891595960394631</v>
      </c>
      <c r="AI157">
        <v>0.58925345084570013</v>
      </c>
      <c r="AK157" s="11" t="str">
        <f t="shared" si="52"/>
        <v>IoU 100</v>
      </c>
      <c r="AL157" s="11" t="str">
        <f t="shared" si="59"/>
        <v>IoU 100</v>
      </c>
      <c r="AM157" s="11" t="str">
        <f t="shared" si="60"/>
        <v>IoU 75</v>
      </c>
    </row>
    <row r="158" spans="1:39" ht="15" x14ac:dyDescent="0.25">
      <c r="A158" s="11">
        <v>0.42576922046314197</v>
      </c>
      <c r="B158" s="11">
        <v>0.51894001279718238</v>
      </c>
      <c r="C158" s="11">
        <v>0.64762706796119041</v>
      </c>
      <c r="E158" s="11" t="str">
        <f t="shared" si="49"/>
        <v>IoU 50</v>
      </c>
      <c r="F158" s="11" t="str">
        <f t="shared" si="50"/>
        <v>IoU 75</v>
      </c>
      <c r="G158" s="11" t="str">
        <f t="shared" si="51"/>
        <v>IoU 75</v>
      </c>
      <c r="I158" s="11">
        <v>0.86790218580921952</v>
      </c>
      <c r="J158" s="11">
        <v>0.77166768874810776</v>
      </c>
      <c r="K158" s="11">
        <v>0.64963825461756186</v>
      </c>
      <c r="M158" s="11" t="str">
        <f t="shared" si="61"/>
        <v>IoU 100</v>
      </c>
      <c r="N158" s="11" t="str">
        <f t="shared" si="53"/>
        <v>IoU 100</v>
      </c>
      <c r="O158" s="11" t="str">
        <f t="shared" si="54"/>
        <v>IoU 75</v>
      </c>
      <c r="Q158" s="11">
        <v>0.42587975836609454</v>
      </c>
      <c r="R158" s="11">
        <v>0.39048603929679421</v>
      </c>
      <c r="S158" s="11">
        <v>0.39028944911297853</v>
      </c>
      <c r="U158" s="11" t="str">
        <f t="shared" si="63"/>
        <v>IoU 50</v>
      </c>
      <c r="V158" s="11" t="str">
        <f t="shared" si="55"/>
        <v>IoU 50</v>
      </c>
      <c r="W158" s="11" t="str">
        <f t="shared" si="56"/>
        <v>IoU 50</v>
      </c>
      <c r="Y158">
        <v>0.6071115114753709</v>
      </c>
      <c r="Z158">
        <v>0.39288874587724237</v>
      </c>
      <c r="AA158">
        <v>0.46136234423362649</v>
      </c>
      <c r="AC158" s="11" t="str">
        <f t="shared" si="62"/>
        <v>IoU 75</v>
      </c>
      <c r="AD158" s="11" t="str">
        <f t="shared" si="57"/>
        <v>IoU 50</v>
      </c>
      <c r="AE158" s="11" t="str">
        <f t="shared" si="58"/>
        <v>IoU 50</v>
      </c>
      <c r="AG158">
        <v>0.44415055625020039</v>
      </c>
      <c r="AH158">
        <v>0.26361897725589589</v>
      </c>
      <c r="AI158">
        <v>6.1224489795918366E-2</v>
      </c>
      <c r="AK158" s="11" t="str">
        <f t="shared" si="52"/>
        <v>IoU 50</v>
      </c>
      <c r="AL158" s="11" t="str">
        <f t="shared" si="59"/>
        <v>IoU 50</v>
      </c>
      <c r="AM158" s="11" t="str">
        <f t="shared" si="60"/>
        <v>IoU 25</v>
      </c>
    </row>
    <row r="159" spans="1:39" ht="15" x14ac:dyDescent="0.25">
      <c r="A159" s="11">
        <v>0.86117754207261399</v>
      </c>
      <c r="B159" s="11">
        <v>0.79266416678621043</v>
      </c>
      <c r="C159" s="11">
        <v>0.74056716622058694</v>
      </c>
      <c r="E159" s="11" t="str">
        <f t="shared" si="49"/>
        <v>IoU 100</v>
      </c>
      <c r="F159" s="11" t="str">
        <f t="shared" si="50"/>
        <v>IoU 100</v>
      </c>
      <c r="G159" s="11" t="str">
        <f t="shared" si="51"/>
        <v>IoU 75</v>
      </c>
      <c r="I159" s="11">
        <v>0.53067776625825636</v>
      </c>
      <c r="J159" s="11">
        <v>0.43738259418500552</v>
      </c>
      <c r="K159" s="11">
        <v>0.30642594250472494</v>
      </c>
      <c r="M159" s="11" t="str">
        <f t="shared" si="61"/>
        <v>IoU 75</v>
      </c>
      <c r="N159" s="11" t="str">
        <f t="shared" si="53"/>
        <v>IoU 50</v>
      </c>
      <c r="O159" s="11" t="str">
        <f t="shared" si="54"/>
        <v>IoU 50</v>
      </c>
      <c r="Q159" s="11">
        <v>0.84563949905360158</v>
      </c>
      <c r="R159" s="11">
        <v>0.69132729712763918</v>
      </c>
      <c r="S159" s="11">
        <v>0.69499979548956947</v>
      </c>
      <c r="U159" s="11" t="str">
        <f t="shared" si="63"/>
        <v>IoU 100</v>
      </c>
      <c r="V159" s="11" t="str">
        <f t="shared" si="55"/>
        <v>IoU 75</v>
      </c>
      <c r="W159" s="11" t="str">
        <f t="shared" si="56"/>
        <v>IoU 75</v>
      </c>
      <c r="Y159"/>
      <c r="Z159"/>
      <c r="AA159"/>
      <c r="AG159">
        <v>0.4255581864931216</v>
      </c>
      <c r="AH159">
        <v>0.31590534334220255</v>
      </c>
      <c r="AI159">
        <v>0.33082345402114705</v>
      </c>
      <c r="AK159" s="11" t="str">
        <f t="shared" si="52"/>
        <v>IoU 50</v>
      </c>
      <c r="AL159" s="11" t="str">
        <f t="shared" si="59"/>
        <v>IoU 50</v>
      </c>
      <c r="AM159" s="11" t="str">
        <f t="shared" si="60"/>
        <v>IoU 50</v>
      </c>
    </row>
    <row r="160" spans="1:39" ht="15" x14ac:dyDescent="0.25">
      <c r="A160" s="11">
        <v>0.86357195382470486</v>
      </c>
      <c r="B160" s="11">
        <v>0.84430120556400001</v>
      </c>
      <c r="C160" s="11">
        <v>0.6005741618992414</v>
      </c>
      <c r="E160" s="11" t="str">
        <f t="shared" si="49"/>
        <v>IoU 100</v>
      </c>
      <c r="F160" s="11" t="str">
        <f t="shared" si="50"/>
        <v>IoU 100</v>
      </c>
      <c r="G160" s="11" t="str">
        <f t="shared" si="51"/>
        <v>IoU 75</v>
      </c>
      <c r="I160" s="11">
        <v>0.85639126444026781</v>
      </c>
      <c r="J160" s="11">
        <v>0.83358024079812998</v>
      </c>
      <c r="K160" s="11">
        <v>0.6602173267883491</v>
      </c>
      <c r="M160" s="11" t="str">
        <f t="shared" si="61"/>
        <v>IoU 100</v>
      </c>
      <c r="N160" s="11" t="str">
        <f t="shared" si="53"/>
        <v>IoU 100</v>
      </c>
      <c r="O160" s="11" t="str">
        <f t="shared" si="54"/>
        <v>IoU 75</v>
      </c>
      <c r="Q160" s="11">
        <v>0.46867532886253804</v>
      </c>
      <c r="R160" s="11">
        <v>0.37554190751445088</v>
      </c>
      <c r="S160" s="11">
        <v>0.26408943356441983</v>
      </c>
      <c r="U160" s="11" t="str">
        <f t="shared" si="63"/>
        <v>IoU 50</v>
      </c>
      <c r="V160" s="11" t="str">
        <f t="shared" si="55"/>
        <v>IoU 50</v>
      </c>
      <c r="W160" s="11" t="str">
        <f t="shared" si="56"/>
        <v>IoU 50</v>
      </c>
      <c r="Y160">
        <v>0.46180743121130252</v>
      </c>
      <c r="Z160">
        <v>0.20300531529230284</v>
      </c>
      <c r="AA160">
        <v>5.7233924611973394E-2</v>
      </c>
      <c r="AC160" s="11" t="str">
        <f t="shared" ref="AC160:AC165" si="64">VLOOKUP(Y160,IoU_Thresholds,2,TRUE)</f>
        <v>IoU 50</v>
      </c>
      <c r="AD160" s="11" t="str">
        <f t="shared" si="57"/>
        <v>IoU 25</v>
      </c>
      <c r="AE160" s="11" t="str">
        <f t="shared" si="58"/>
        <v>IoU 25</v>
      </c>
      <c r="AG160">
        <v>0.85587142299138519</v>
      </c>
      <c r="AH160">
        <v>0.69361588816899267</v>
      </c>
      <c r="AI160">
        <v>0.50913018741444671</v>
      </c>
      <c r="AK160" s="11" t="str">
        <f t="shared" si="52"/>
        <v>IoU 100</v>
      </c>
      <c r="AL160" s="11" t="str">
        <f t="shared" si="59"/>
        <v>IoU 75</v>
      </c>
      <c r="AM160" s="11" t="str">
        <f t="shared" si="60"/>
        <v>IoU 75</v>
      </c>
    </row>
    <row r="161" spans="1:39" ht="15" x14ac:dyDescent="0.25">
      <c r="A161" s="11">
        <v>0.81977110263678021</v>
      </c>
      <c r="B161" s="11">
        <v>0.3672627235213205</v>
      </c>
      <c r="C161" s="11">
        <v>0.399627676078188</v>
      </c>
      <c r="E161" s="11" t="str">
        <f t="shared" si="49"/>
        <v>IoU 100</v>
      </c>
      <c r="F161" s="11" t="str">
        <f t="shared" si="50"/>
        <v>IoU 50</v>
      </c>
      <c r="G161" s="11" t="str">
        <f t="shared" si="51"/>
        <v>IoU 50</v>
      </c>
      <c r="I161" s="11">
        <v>0.39698319683460948</v>
      </c>
      <c r="J161" s="11">
        <v>0.48190368220106949</v>
      </c>
      <c r="K161" s="11">
        <v>0.39609089457054358</v>
      </c>
      <c r="M161" s="11" t="str">
        <f t="shared" si="61"/>
        <v>IoU 50</v>
      </c>
      <c r="N161" s="11" t="str">
        <f t="shared" si="53"/>
        <v>IoU 50</v>
      </c>
      <c r="O161" s="11" t="str">
        <f t="shared" si="54"/>
        <v>IoU 50</v>
      </c>
      <c r="Q161" s="11">
        <v>0.83326580975436249</v>
      </c>
      <c r="R161" s="11">
        <v>0.86275664382801998</v>
      </c>
      <c r="S161" s="11">
        <v>0.74768686160491438</v>
      </c>
      <c r="U161" s="11" t="str">
        <f t="shared" si="63"/>
        <v>IoU 100</v>
      </c>
      <c r="V161" s="11" t="str">
        <f t="shared" si="55"/>
        <v>IoU 100</v>
      </c>
      <c r="W161" s="11" t="str">
        <f t="shared" si="56"/>
        <v>IoU 75</v>
      </c>
      <c r="Y161">
        <v>0.74101838352162575</v>
      </c>
      <c r="Z161">
        <v>0.29407995899538697</v>
      </c>
      <c r="AA161">
        <v>0.16968248548992831</v>
      </c>
      <c r="AC161" s="11" t="str">
        <f t="shared" si="64"/>
        <v>IoU 75</v>
      </c>
      <c r="AD161" s="11" t="str">
        <f t="shared" si="57"/>
        <v>IoU 50</v>
      </c>
      <c r="AE161" s="11" t="str">
        <f t="shared" si="58"/>
        <v>IoU 25</v>
      </c>
      <c r="AG161">
        <v>0.88123282756991006</v>
      </c>
      <c r="AH161">
        <v>0.43767223318784243</v>
      </c>
      <c r="AI161">
        <v>0.47188850451485986</v>
      </c>
      <c r="AK161" s="11" t="str">
        <f t="shared" si="52"/>
        <v>IoU 100</v>
      </c>
      <c r="AL161" s="11" t="str">
        <f t="shared" si="59"/>
        <v>IoU 50</v>
      </c>
      <c r="AM161" s="11" t="str">
        <f t="shared" si="60"/>
        <v>IoU 50</v>
      </c>
    </row>
    <row r="162" spans="1:39" ht="15" x14ac:dyDescent="0.25">
      <c r="I162" s="11">
        <v>0.59691246494812256</v>
      </c>
      <c r="J162" s="11">
        <v>0.57792844602088866</v>
      </c>
      <c r="K162" s="11">
        <v>0.50276331076235092</v>
      </c>
      <c r="M162" s="11" t="str">
        <f t="shared" si="61"/>
        <v>IoU 75</v>
      </c>
      <c r="N162" s="11" t="str">
        <f t="shared" si="53"/>
        <v>IoU 75</v>
      </c>
      <c r="O162" s="11" t="str">
        <f t="shared" si="54"/>
        <v>IoU 75</v>
      </c>
      <c r="Q162" s="11">
        <v>0.7968531542377757</v>
      </c>
      <c r="R162" s="11">
        <v>0.37408263842935774</v>
      </c>
      <c r="S162" s="11">
        <v>0.23399075720929849</v>
      </c>
      <c r="U162" s="11" t="str">
        <f t="shared" si="63"/>
        <v>IoU 100</v>
      </c>
      <c r="V162" s="11" t="str">
        <f t="shared" si="55"/>
        <v>IoU 50</v>
      </c>
      <c r="W162" s="11" t="str">
        <f t="shared" si="56"/>
        <v>IoU 25</v>
      </c>
      <c r="Y162">
        <v>0.60831163781433661</v>
      </c>
      <c r="Z162">
        <v>0.45765117033636837</v>
      </c>
      <c r="AA162">
        <v>0.33408707547416688</v>
      </c>
      <c r="AC162" s="11" t="str">
        <f t="shared" si="64"/>
        <v>IoU 75</v>
      </c>
      <c r="AD162" s="11" t="str">
        <f t="shared" si="57"/>
        <v>IoU 50</v>
      </c>
      <c r="AE162" s="11" t="str">
        <f t="shared" si="58"/>
        <v>IoU 50</v>
      </c>
      <c r="AG162">
        <v>0.48132086340686525</v>
      </c>
      <c r="AH162">
        <v>0.33534054532178525</v>
      </c>
      <c r="AI162">
        <v>0.23021582733812951</v>
      </c>
      <c r="AK162" s="11" t="str">
        <f t="shared" si="52"/>
        <v>IoU 50</v>
      </c>
      <c r="AL162" s="11" t="str">
        <f t="shared" si="59"/>
        <v>IoU 50</v>
      </c>
      <c r="AM162" s="11" t="str">
        <f t="shared" si="60"/>
        <v>IoU 25</v>
      </c>
    </row>
    <row r="163" spans="1:39" ht="15" x14ac:dyDescent="0.25">
      <c r="A163" s="11">
        <v>0.77054958324847156</v>
      </c>
      <c r="B163" s="11">
        <v>0.29279628195197521</v>
      </c>
      <c r="C163" s="11">
        <v>0.35460946668405269</v>
      </c>
      <c r="E163" s="11" t="str">
        <f t="shared" si="49"/>
        <v>IoU 100</v>
      </c>
      <c r="F163" s="11" t="str">
        <f t="shared" si="50"/>
        <v>IoU 50</v>
      </c>
      <c r="G163" s="11" t="str">
        <f t="shared" si="51"/>
        <v>IoU 50</v>
      </c>
      <c r="I163" s="11">
        <v>0.89082020220728886</v>
      </c>
      <c r="J163" s="11">
        <v>0.73759037695398155</v>
      </c>
      <c r="K163" s="11">
        <v>0.71946033271099274</v>
      </c>
      <c r="M163" s="11" t="str">
        <f t="shared" si="61"/>
        <v>IoU 100</v>
      </c>
      <c r="N163" s="11" t="str">
        <f t="shared" si="53"/>
        <v>IoU 75</v>
      </c>
      <c r="O163" s="11" t="str">
        <f t="shared" si="54"/>
        <v>IoU 75</v>
      </c>
      <c r="Q163" s="11">
        <v>0.8427271645198493</v>
      </c>
      <c r="R163" s="11">
        <v>0.70852855908681089</v>
      </c>
      <c r="S163" s="11">
        <v>0.68572855691914469</v>
      </c>
      <c r="U163" s="11" t="str">
        <f t="shared" si="63"/>
        <v>IoU 100</v>
      </c>
      <c r="V163" s="11" t="str">
        <f t="shared" si="55"/>
        <v>IoU 75</v>
      </c>
      <c r="W163" s="11" t="str">
        <f t="shared" si="56"/>
        <v>IoU 75</v>
      </c>
      <c r="Y163">
        <v>0.34588814379756971</v>
      </c>
      <c r="Z163">
        <v>0.24036371828498199</v>
      </c>
      <c r="AA163">
        <v>0</v>
      </c>
      <c r="AC163" s="11" t="str">
        <f t="shared" si="64"/>
        <v>IoU 50</v>
      </c>
      <c r="AD163" s="11" t="str">
        <f t="shared" si="57"/>
        <v>IoU 25</v>
      </c>
      <c r="AE163" s="11" t="str">
        <f t="shared" si="58"/>
        <v>IoU 25</v>
      </c>
      <c r="AG163">
        <v>0.41855511176511806</v>
      </c>
      <c r="AH163">
        <v>0.30012357120790856</v>
      </c>
      <c r="AI163">
        <v>0.36084857642732093</v>
      </c>
      <c r="AK163" s="11" t="str">
        <f t="shared" si="52"/>
        <v>IoU 50</v>
      </c>
      <c r="AL163" s="11" t="str">
        <f t="shared" si="59"/>
        <v>IoU 50</v>
      </c>
      <c r="AM163" s="11" t="str">
        <f t="shared" si="60"/>
        <v>IoU 50</v>
      </c>
    </row>
    <row r="164" spans="1:39" ht="15" x14ac:dyDescent="0.25">
      <c r="A164" s="11">
        <v>0</v>
      </c>
      <c r="B164" s="11">
        <v>0.12745987035662437</v>
      </c>
      <c r="C164" s="11">
        <v>5.7193018872035296E-2</v>
      </c>
      <c r="E164" s="11" t="str">
        <f t="shared" si="49"/>
        <v>IoU 25</v>
      </c>
      <c r="F164" s="11" t="str">
        <f t="shared" si="50"/>
        <v>IoU 25</v>
      </c>
      <c r="G164" s="11" t="str">
        <f t="shared" si="51"/>
        <v>IoU 25</v>
      </c>
      <c r="I164" s="11">
        <v>0.57700537344987968</v>
      </c>
      <c r="J164" s="11">
        <v>0.47167200965713796</v>
      </c>
      <c r="K164" s="11">
        <v>0.3837626818352835</v>
      </c>
      <c r="M164" s="11" t="str">
        <f t="shared" si="61"/>
        <v>IoU 75</v>
      </c>
      <c r="N164" s="11" t="str">
        <f t="shared" si="53"/>
        <v>IoU 50</v>
      </c>
      <c r="O164" s="11" t="str">
        <f t="shared" si="54"/>
        <v>IoU 50</v>
      </c>
      <c r="Q164" s="11">
        <v>0.84693926576303813</v>
      </c>
      <c r="R164" s="11">
        <v>0.73993485037802453</v>
      </c>
      <c r="S164" s="11">
        <v>0.6620631216327707</v>
      </c>
      <c r="U164" s="11" t="str">
        <f t="shared" si="63"/>
        <v>IoU 100</v>
      </c>
      <c r="V164" s="11" t="str">
        <f t="shared" si="55"/>
        <v>IoU 75</v>
      </c>
      <c r="W164" s="11" t="str">
        <f t="shared" si="56"/>
        <v>IoU 75</v>
      </c>
      <c r="Y164">
        <v>0.86124404570414725</v>
      </c>
      <c r="Z164">
        <v>0.39523544337214256</v>
      </c>
      <c r="AA164">
        <v>0.24430301786080888</v>
      </c>
      <c r="AC164" s="11" t="str">
        <f t="shared" si="64"/>
        <v>IoU 100</v>
      </c>
      <c r="AD164" s="11" t="str">
        <f t="shared" si="57"/>
        <v>IoU 50</v>
      </c>
      <c r="AE164" s="11" t="str">
        <f t="shared" si="58"/>
        <v>IoU 25</v>
      </c>
      <c r="AG164">
        <v>0.8456129626707336</v>
      </c>
      <c r="AH164">
        <v>0.26876065946560546</v>
      </c>
      <c r="AI164">
        <v>0.23593646591661152</v>
      </c>
      <c r="AK164" s="11" t="str">
        <f t="shared" si="52"/>
        <v>IoU 100</v>
      </c>
      <c r="AL164" s="11" t="str">
        <f t="shared" si="59"/>
        <v>IoU 50</v>
      </c>
      <c r="AM164" s="11" t="str">
        <f t="shared" si="60"/>
        <v>IoU 25</v>
      </c>
    </row>
    <row r="165" spans="1:39" ht="15" x14ac:dyDescent="0.25">
      <c r="A165" s="11">
        <v>0.84237308206196759</v>
      </c>
      <c r="B165" s="11">
        <v>0.71153007430879756</v>
      </c>
      <c r="C165" s="11">
        <v>0.73273090383913742</v>
      </c>
      <c r="E165" s="11" t="str">
        <f t="shared" si="49"/>
        <v>IoU 100</v>
      </c>
      <c r="F165" s="11" t="str">
        <f t="shared" si="50"/>
        <v>IoU 75</v>
      </c>
      <c r="G165" s="11" t="str">
        <f t="shared" si="51"/>
        <v>IoU 75</v>
      </c>
      <c r="I165" s="11">
        <v>0.42058750825164937</v>
      </c>
      <c r="J165" s="11">
        <v>0.25547388011059352</v>
      </c>
      <c r="K165" s="11">
        <v>0.38259192394483177</v>
      </c>
      <c r="M165" s="11" t="str">
        <f t="shared" si="61"/>
        <v>IoU 50</v>
      </c>
      <c r="N165" s="11" t="str">
        <f t="shared" si="53"/>
        <v>IoU 50</v>
      </c>
      <c r="O165" s="11" t="str">
        <f t="shared" si="54"/>
        <v>IoU 50</v>
      </c>
      <c r="Q165" s="11">
        <v>0.88911940231432651</v>
      </c>
      <c r="R165" s="11">
        <v>0.73729556029917009</v>
      </c>
      <c r="S165" s="11">
        <v>0.57888548460439382</v>
      </c>
      <c r="U165" s="11" t="str">
        <f t="shared" si="63"/>
        <v>IoU 100</v>
      </c>
      <c r="V165" s="11" t="str">
        <f t="shared" si="55"/>
        <v>IoU 75</v>
      </c>
      <c r="W165" s="11" t="str">
        <f t="shared" si="56"/>
        <v>IoU 75</v>
      </c>
      <c r="Y165">
        <v>0.88869023000017755</v>
      </c>
      <c r="Z165">
        <v>0.84364094723511518</v>
      </c>
      <c r="AA165">
        <v>0.58743209117164974</v>
      </c>
      <c r="AC165" s="11" t="str">
        <f t="shared" si="64"/>
        <v>IoU 100</v>
      </c>
      <c r="AD165" s="11" t="str">
        <f t="shared" si="57"/>
        <v>IoU 100</v>
      </c>
      <c r="AE165" s="11" t="str">
        <f t="shared" si="58"/>
        <v>IoU 75</v>
      </c>
      <c r="AG165">
        <v>0.85846236853323421</v>
      </c>
      <c r="AH165">
        <v>0.54342438840802021</v>
      </c>
      <c r="AI165">
        <v>0.6336109726855339</v>
      </c>
      <c r="AK165" s="11" t="str">
        <f t="shared" si="52"/>
        <v>IoU 100</v>
      </c>
      <c r="AL165" s="11" t="str">
        <f t="shared" si="59"/>
        <v>IoU 75</v>
      </c>
      <c r="AM165" s="11" t="str">
        <f t="shared" si="60"/>
        <v>IoU 75</v>
      </c>
    </row>
    <row r="166" spans="1:39" ht="15" x14ac:dyDescent="0.25">
      <c r="A166" s="11">
        <v>0.8099007998756993</v>
      </c>
      <c r="B166" s="11">
        <v>0.6370909720010105</v>
      </c>
      <c r="C166" s="11">
        <v>0.55777676520612762</v>
      </c>
      <c r="E166" s="11" t="str">
        <f t="shared" si="49"/>
        <v>IoU 100</v>
      </c>
      <c r="F166" s="11" t="str">
        <f t="shared" si="50"/>
        <v>IoU 75</v>
      </c>
      <c r="G166" s="11" t="str">
        <f t="shared" si="51"/>
        <v>IoU 75</v>
      </c>
      <c r="I166" s="11">
        <v>0.83270619327454254</v>
      </c>
      <c r="J166" s="11">
        <v>0.35624012638230645</v>
      </c>
      <c r="K166" s="11">
        <v>0.31744383613366056</v>
      </c>
      <c r="M166" s="11" t="str">
        <f t="shared" si="61"/>
        <v>IoU 100</v>
      </c>
      <c r="N166" s="11" t="str">
        <f t="shared" si="53"/>
        <v>IoU 50</v>
      </c>
      <c r="O166" s="11" t="str">
        <f t="shared" si="54"/>
        <v>IoU 50</v>
      </c>
      <c r="Q166" s="11">
        <v>0.83795846633748128</v>
      </c>
      <c r="R166" s="11">
        <v>0.61532216445715848</v>
      </c>
      <c r="S166" s="11">
        <v>0.55944016503016858</v>
      </c>
      <c r="U166" s="11" t="str">
        <f t="shared" si="63"/>
        <v>IoU 100</v>
      </c>
      <c r="V166" s="11" t="str">
        <f t="shared" si="55"/>
        <v>IoU 75</v>
      </c>
      <c r="W166" s="11" t="str">
        <f t="shared" si="56"/>
        <v>IoU 75</v>
      </c>
      <c r="Y166"/>
      <c r="Z166"/>
      <c r="AA166"/>
      <c r="AG166">
        <v>0.70857549960874322</v>
      </c>
      <c r="AH166">
        <v>0.28472058476774348</v>
      </c>
      <c r="AI166">
        <v>0.38396564972271707</v>
      </c>
      <c r="AK166" s="11" t="str">
        <f t="shared" si="52"/>
        <v>IoU 75</v>
      </c>
      <c r="AL166" s="11" t="str">
        <f t="shared" si="59"/>
        <v>IoU 50</v>
      </c>
      <c r="AM166" s="11" t="str">
        <f t="shared" si="60"/>
        <v>IoU 50</v>
      </c>
    </row>
    <row r="167" spans="1:39" ht="15" x14ac:dyDescent="0.25">
      <c r="A167" s="11">
        <v>0.83177524629935851</v>
      </c>
      <c r="B167" s="11">
        <v>0.74508824273830576</v>
      </c>
      <c r="C167" s="11">
        <v>0.74820516154484917</v>
      </c>
      <c r="E167" s="11" t="str">
        <f t="shared" si="49"/>
        <v>IoU 100</v>
      </c>
      <c r="F167" s="11" t="str">
        <f t="shared" si="50"/>
        <v>IoU 75</v>
      </c>
      <c r="G167" s="11" t="str">
        <f t="shared" si="51"/>
        <v>IoU 75</v>
      </c>
      <c r="I167" s="11">
        <v>0.84118734458132893</v>
      </c>
      <c r="J167" s="11">
        <v>0.63065900633991623</v>
      </c>
      <c r="K167" s="11">
        <v>0.27113756859826993</v>
      </c>
      <c r="M167" s="11" t="str">
        <f t="shared" si="61"/>
        <v>IoU 100</v>
      </c>
      <c r="N167" s="11" t="str">
        <f t="shared" si="53"/>
        <v>IoU 75</v>
      </c>
      <c r="O167" s="11" t="str">
        <f t="shared" si="54"/>
        <v>IoU 50</v>
      </c>
      <c r="Q167" s="11">
        <v>0.83474743869969026</v>
      </c>
      <c r="R167" s="11">
        <v>0.5613077416417025</v>
      </c>
      <c r="S167" s="11">
        <v>0.77762598207056777</v>
      </c>
      <c r="U167" s="11" t="str">
        <f t="shared" si="63"/>
        <v>IoU 100</v>
      </c>
      <c r="V167" s="11" t="str">
        <f t="shared" si="55"/>
        <v>IoU 75</v>
      </c>
      <c r="W167" s="11" t="str">
        <f t="shared" si="56"/>
        <v>IoU 100</v>
      </c>
      <c r="Y167">
        <v>0.3947639066813417</v>
      </c>
      <c r="Z167">
        <v>0.77474278026935406</v>
      </c>
      <c r="AA167">
        <v>0.40784657010982017</v>
      </c>
      <c r="AC167" s="11" t="str">
        <f t="shared" ref="AC167:AC173" si="65">VLOOKUP(Y167,IoU_Thresholds,2,TRUE)</f>
        <v>IoU 50</v>
      </c>
      <c r="AD167" s="11" t="str">
        <f t="shared" si="57"/>
        <v>IoU 100</v>
      </c>
      <c r="AE167" s="11" t="str">
        <f t="shared" si="58"/>
        <v>IoU 50</v>
      </c>
      <c r="AG167">
        <v>0.85366080679007084</v>
      </c>
      <c r="AH167">
        <v>0.47592174701939227</v>
      </c>
      <c r="AI167">
        <v>6.4274163264720725E-3</v>
      </c>
      <c r="AK167" s="11" t="str">
        <f t="shared" si="52"/>
        <v>IoU 100</v>
      </c>
      <c r="AL167" s="11" t="str">
        <f t="shared" si="59"/>
        <v>IoU 50</v>
      </c>
      <c r="AM167" s="11" t="str">
        <f t="shared" si="60"/>
        <v>IoU 25</v>
      </c>
    </row>
    <row r="168" spans="1:39" ht="15" x14ac:dyDescent="0.25">
      <c r="A168" s="11">
        <v>0.89170964631408944</v>
      </c>
      <c r="B168" s="11">
        <v>0.76194347196498158</v>
      </c>
      <c r="C168" s="11">
        <v>0.75881191547373072</v>
      </c>
      <c r="E168" s="11" t="str">
        <f t="shared" si="49"/>
        <v>IoU 100</v>
      </c>
      <c r="F168" s="11" t="str">
        <f t="shared" si="50"/>
        <v>IoU 100</v>
      </c>
      <c r="G168" s="11" t="str">
        <f t="shared" si="51"/>
        <v>IoU 100</v>
      </c>
      <c r="I168" s="11">
        <v>0.63102393178460736</v>
      </c>
      <c r="J168" s="11">
        <v>0.37005948527954224</v>
      </c>
      <c r="K168" s="11">
        <v>0.54380091968595845</v>
      </c>
      <c r="M168" s="11" t="str">
        <f t="shared" si="61"/>
        <v>IoU 75</v>
      </c>
      <c r="N168" s="11" t="str">
        <f t="shared" si="53"/>
        <v>IoU 50</v>
      </c>
      <c r="O168" s="11" t="str">
        <f t="shared" si="54"/>
        <v>IoU 75</v>
      </c>
      <c r="Q168" s="11">
        <v>0.82921202504065139</v>
      </c>
      <c r="R168" s="11">
        <v>0.58501453032848794</v>
      </c>
      <c r="S168" s="11">
        <v>0.64044807140456461</v>
      </c>
      <c r="U168" s="11" t="str">
        <f t="shared" si="63"/>
        <v>IoU 100</v>
      </c>
      <c r="V168" s="11" t="str">
        <f t="shared" si="55"/>
        <v>IoU 75</v>
      </c>
      <c r="W168" s="11" t="str">
        <f t="shared" si="56"/>
        <v>IoU 75</v>
      </c>
      <c r="Y168">
        <v>0.82899668615345956</v>
      </c>
      <c r="Z168">
        <v>0.72354094981948669</v>
      </c>
      <c r="AA168">
        <v>0.81020914603764882</v>
      </c>
      <c r="AC168" s="11" t="str">
        <f t="shared" si="65"/>
        <v>IoU 100</v>
      </c>
      <c r="AD168" s="11" t="str">
        <f t="shared" si="57"/>
        <v>IoU 75</v>
      </c>
      <c r="AE168" s="11" t="str">
        <f t="shared" si="58"/>
        <v>IoU 100</v>
      </c>
      <c r="AG168">
        <v>0.84688390365335442</v>
      </c>
      <c r="AH168">
        <v>0.58684508860526041</v>
      </c>
      <c r="AI168">
        <v>0.27727274788563139</v>
      </c>
      <c r="AK168" s="11" t="str">
        <f t="shared" si="52"/>
        <v>IoU 100</v>
      </c>
      <c r="AL168" s="11" t="str">
        <f t="shared" si="59"/>
        <v>IoU 75</v>
      </c>
      <c r="AM168" s="11" t="str">
        <f t="shared" si="60"/>
        <v>IoU 50</v>
      </c>
    </row>
    <row r="169" spans="1:39" ht="15" x14ac:dyDescent="0.25">
      <c r="A169" s="11">
        <v>0.82628314025133487</v>
      </c>
      <c r="B169" s="11">
        <v>0.68313196666179676</v>
      </c>
      <c r="C169" s="11">
        <v>0.50296960962383852</v>
      </c>
      <c r="E169" s="11" t="str">
        <f t="shared" si="49"/>
        <v>IoU 100</v>
      </c>
      <c r="F169" s="11" t="str">
        <f t="shared" si="50"/>
        <v>IoU 75</v>
      </c>
      <c r="G169" s="11" t="str">
        <f t="shared" si="51"/>
        <v>IoU 75</v>
      </c>
      <c r="I169" s="11">
        <v>0.76474873679768085</v>
      </c>
      <c r="J169" s="11">
        <v>0.41586604116741943</v>
      </c>
      <c r="K169" s="11">
        <v>0.39428955944989846</v>
      </c>
      <c r="M169" s="11" t="str">
        <f t="shared" si="61"/>
        <v>IoU 100</v>
      </c>
      <c r="N169" s="11" t="str">
        <f t="shared" si="53"/>
        <v>IoU 50</v>
      </c>
      <c r="O169" s="11" t="str">
        <f t="shared" si="54"/>
        <v>IoU 50</v>
      </c>
      <c r="Q169" s="11">
        <v>0.8778533865189676</v>
      </c>
      <c r="R169" s="11">
        <v>0.6756849815045759</v>
      </c>
      <c r="S169" s="11">
        <v>0.6313614852566436</v>
      </c>
      <c r="U169" s="11" t="str">
        <f t="shared" si="63"/>
        <v>IoU 100</v>
      </c>
      <c r="V169" s="11" t="str">
        <f t="shared" si="55"/>
        <v>IoU 75</v>
      </c>
      <c r="W169" s="11" t="str">
        <f t="shared" si="56"/>
        <v>IoU 75</v>
      </c>
      <c r="Y169">
        <v>0.57224064372178707</v>
      </c>
      <c r="Z169">
        <v>0.49123930909680408</v>
      </c>
      <c r="AA169">
        <v>0.44135000632617771</v>
      </c>
      <c r="AC169" s="11" t="str">
        <f t="shared" si="65"/>
        <v>IoU 75</v>
      </c>
      <c r="AD169" s="11" t="str">
        <f t="shared" si="57"/>
        <v>IoU 50</v>
      </c>
      <c r="AE169" s="11" t="str">
        <f t="shared" si="58"/>
        <v>IoU 50</v>
      </c>
      <c r="AG169">
        <v>0.82043943717341672</v>
      </c>
      <c r="AH169">
        <v>0.5383814218228945</v>
      </c>
      <c r="AI169">
        <v>0.44915188297541242</v>
      </c>
      <c r="AK169" s="11" t="str">
        <f t="shared" si="52"/>
        <v>IoU 100</v>
      </c>
      <c r="AL169" s="11" t="str">
        <f t="shared" si="59"/>
        <v>IoU 75</v>
      </c>
      <c r="AM169" s="11" t="str">
        <f t="shared" si="60"/>
        <v>IoU 50</v>
      </c>
    </row>
    <row r="170" spans="1:39" ht="15" x14ac:dyDescent="0.25">
      <c r="A170" s="11">
        <v>0.5686171575108343</v>
      </c>
      <c r="B170" s="11">
        <v>0.24629602542338208</v>
      </c>
      <c r="C170" s="11">
        <v>0.24062116324673202</v>
      </c>
      <c r="E170" s="11" t="str">
        <f t="shared" si="49"/>
        <v>IoU 75</v>
      </c>
      <c r="F170" s="11" t="str">
        <f t="shared" si="50"/>
        <v>IoU 25</v>
      </c>
      <c r="G170" s="11" t="str">
        <f t="shared" si="51"/>
        <v>IoU 25</v>
      </c>
      <c r="I170" s="11">
        <v>0.79956997623910264</v>
      </c>
      <c r="J170" s="11">
        <v>0.71471048513302038</v>
      </c>
      <c r="K170" s="11">
        <v>0.34215328467153283</v>
      </c>
      <c r="M170" s="11" t="str">
        <f t="shared" ref="M170:M200" si="66">VLOOKUP(I170,IoU_Thresholds,2,TRUE)</f>
        <v>IoU 100</v>
      </c>
      <c r="N170" s="11" t="str">
        <f t="shared" si="53"/>
        <v>IoU 75</v>
      </c>
      <c r="O170" s="11" t="str">
        <f t="shared" si="54"/>
        <v>IoU 50</v>
      </c>
      <c r="Q170" s="11">
        <v>0.80889478001957094</v>
      </c>
      <c r="R170" s="11">
        <v>0.80102366109176892</v>
      </c>
      <c r="S170" s="11">
        <v>0.56410010376031416</v>
      </c>
      <c r="U170" s="11" t="str">
        <f t="shared" si="63"/>
        <v>IoU 100</v>
      </c>
      <c r="V170" s="11" t="str">
        <f t="shared" si="55"/>
        <v>IoU 100</v>
      </c>
      <c r="W170" s="11" t="str">
        <f t="shared" si="56"/>
        <v>IoU 75</v>
      </c>
      <c r="Y170">
        <v>0.89276923578445011</v>
      </c>
      <c r="Z170">
        <v>0.69789472392091478</v>
      </c>
      <c r="AA170">
        <v>0.29453681710213775</v>
      </c>
      <c r="AC170" s="11" t="str">
        <f t="shared" si="65"/>
        <v>IoU 100</v>
      </c>
      <c r="AD170" s="11" t="str">
        <f t="shared" si="57"/>
        <v>IoU 75</v>
      </c>
      <c r="AE170" s="11" t="str">
        <f t="shared" si="58"/>
        <v>IoU 50</v>
      </c>
      <c r="AG170">
        <v>0.40519377101397985</v>
      </c>
      <c r="AH170">
        <v>0.40501897139697074</v>
      </c>
      <c r="AI170">
        <v>0.31344902386117135</v>
      </c>
      <c r="AK170" s="11" t="str">
        <f t="shared" si="52"/>
        <v>IoU 50</v>
      </c>
      <c r="AL170" s="11" t="str">
        <f t="shared" si="59"/>
        <v>IoU 50</v>
      </c>
      <c r="AM170" s="11" t="str">
        <f t="shared" si="60"/>
        <v>IoU 50</v>
      </c>
    </row>
    <row r="171" spans="1:39" ht="15" x14ac:dyDescent="0.25">
      <c r="A171" s="11">
        <v>0.86523063920574439</v>
      </c>
      <c r="B171" s="11">
        <v>0.83769666517301378</v>
      </c>
      <c r="C171" s="11">
        <v>0.72026942080977352</v>
      </c>
      <c r="E171" s="11" t="str">
        <f t="shared" si="49"/>
        <v>IoU 100</v>
      </c>
      <c r="F171" s="11" t="str">
        <f t="shared" si="50"/>
        <v>IoU 100</v>
      </c>
      <c r="G171" s="11" t="str">
        <f t="shared" si="51"/>
        <v>IoU 75</v>
      </c>
      <c r="I171" s="11">
        <v>0.40295043925078733</v>
      </c>
      <c r="J171" s="11">
        <v>0.52108140982026896</v>
      </c>
      <c r="K171" s="11">
        <v>0.34149484536082475</v>
      </c>
      <c r="M171" s="11" t="str">
        <f t="shared" si="66"/>
        <v>IoU 50</v>
      </c>
      <c r="N171" s="11" t="str">
        <f t="shared" si="53"/>
        <v>IoU 75</v>
      </c>
      <c r="O171" s="11" t="str">
        <f t="shared" si="54"/>
        <v>IoU 50</v>
      </c>
      <c r="Q171" s="11">
        <v>0.74471330301474981</v>
      </c>
      <c r="R171" s="11">
        <v>0.42442925622207983</v>
      </c>
      <c r="S171" s="11">
        <v>0.34758299973209777</v>
      </c>
      <c r="U171" s="11" t="str">
        <f t="shared" si="63"/>
        <v>IoU 75</v>
      </c>
      <c r="V171" s="11" t="str">
        <f t="shared" si="55"/>
        <v>IoU 50</v>
      </c>
      <c r="W171" s="11" t="str">
        <f t="shared" si="56"/>
        <v>IoU 50</v>
      </c>
      <c r="Y171">
        <v>0.6234598387941459</v>
      </c>
      <c r="Z171">
        <v>0.66604166623771932</v>
      </c>
      <c r="AA171">
        <v>0.24095966620305981</v>
      </c>
      <c r="AC171" s="11" t="str">
        <f t="shared" si="65"/>
        <v>IoU 75</v>
      </c>
      <c r="AD171" s="11" t="str">
        <f t="shared" si="57"/>
        <v>IoU 75</v>
      </c>
      <c r="AE171" s="11" t="str">
        <f t="shared" si="58"/>
        <v>IoU 25</v>
      </c>
      <c r="AG171">
        <v>0.38865042292639818</v>
      </c>
      <c r="AH171">
        <v>0.6904955022387802</v>
      </c>
      <c r="AI171">
        <v>0.30286167011593768</v>
      </c>
      <c r="AK171" s="11" t="str">
        <f t="shared" si="52"/>
        <v>IoU 50</v>
      </c>
      <c r="AL171" s="11" t="str">
        <f t="shared" si="59"/>
        <v>IoU 75</v>
      </c>
      <c r="AM171" s="11" t="str">
        <f t="shared" si="60"/>
        <v>IoU 50</v>
      </c>
    </row>
    <row r="172" spans="1:39" ht="15" x14ac:dyDescent="0.25">
      <c r="A172" s="11">
        <v>0.88213176788225334</v>
      </c>
      <c r="B172" s="11">
        <v>0.66618583622260097</v>
      </c>
      <c r="C172" s="11">
        <v>0.53579638575186839</v>
      </c>
      <c r="E172" s="11" t="str">
        <f t="shared" si="49"/>
        <v>IoU 100</v>
      </c>
      <c r="F172" s="11" t="str">
        <f t="shared" si="50"/>
        <v>IoU 75</v>
      </c>
      <c r="G172" s="11" t="str">
        <f t="shared" si="51"/>
        <v>IoU 75</v>
      </c>
      <c r="I172" s="11">
        <v>0.8360280428508331</v>
      </c>
      <c r="J172" s="11">
        <v>0.72931984630547486</v>
      </c>
      <c r="K172" s="11">
        <v>0.79136637875777349</v>
      </c>
      <c r="M172" s="11" t="str">
        <f t="shared" si="66"/>
        <v>IoU 100</v>
      </c>
      <c r="N172" s="11" t="str">
        <f t="shared" si="53"/>
        <v>IoU 75</v>
      </c>
      <c r="O172" s="11" t="str">
        <f t="shared" si="54"/>
        <v>IoU 100</v>
      </c>
      <c r="Q172" s="11">
        <v>0.37067582103410518</v>
      </c>
      <c r="R172" s="11">
        <v>0.74272761167580748</v>
      </c>
      <c r="S172" s="11">
        <v>0.33581644962773827</v>
      </c>
      <c r="U172" s="11" t="str">
        <f t="shared" si="63"/>
        <v>IoU 50</v>
      </c>
      <c r="V172" s="11" t="str">
        <f t="shared" si="55"/>
        <v>IoU 75</v>
      </c>
      <c r="W172" s="11" t="str">
        <f t="shared" si="56"/>
        <v>IoU 50</v>
      </c>
      <c r="Y172">
        <v>0.41705657167162907</v>
      </c>
      <c r="Z172">
        <v>0.59298128135671557</v>
      </c>
      <c r="AA172">
        <v>0.35277747789610447</v>
      </c>
      <c r="AC172" s="11" t="str">
        <f t="shared" si="65"/>
        <v>IoU 50</v>
      </c>
      <c r="AD172" s="11" t="str">
        <f t="shared" si="57"/>
        <v>IoU 75</v>
      </c>
      <c r="AE172" s="11" t="str">
        <f t="shared" si="58"/>
        <v>IoU 50</v>
      </c>
      <c r="AG172">
        <v>0.8637904228011497</v>
      </c>
      <c r="AH172">
        <v>0.82676864849567511</v>
      </c>
      <c r="AI172">
        <v>0.55205183008282133</v>
      </c>
      <c r="AK172" s="11" t="str">
        <f t="shared" si="52"/>
        <v>IoU 100</v>
      </c>
      <c r="AL172" s="11" t="str">
        <f t="shared" si="59"/>
        <v>IoU 100</v>
      </c>
      <c r="AM172" s="11" t="str">
        <f t="shared" si="60"/>
        <v>IoU 75</v>
      </c>
    </row>
    <row r="173" spans="1:39" ht="15" x14ac:dyDescent="0.25">
      <c r="A173" s="11">
        <v>0.89665000654888782</v>
      </c>
      <c r="B173" s="11">
        <v>0.68689238351500503</v>
      </c>
      <c r="C173" s="11">
        <v>0.677628548891403</v>
      </c>
      <c r="E173" s="11" t="str">
        <f t="shared" si="49"/>
        <v>IoU 100</v>
      </c>
      <c r="F173" s="11" t="str">
        <f t="shared" si="50"/>
        <v>IoU 75</v>
      </c>
      <c r="G173" s="11" t="str">
        <f t="shared" si="51"/>
        <v>IoU 75</v>
      </c>
      <c r="I173" s="11">
        <v>0.86599913303367781</v>
      </c>
      <c r="J173" s="11">
        <v>0.80491262935062491</v>
      </c>
      <c r="K173" s="11">
        <v>0.60375151178141995</v>
      </c>
      <c r="M173" s="11" t="str">
        <f t="shared" si="66"/>
        <v>IoU 100</v>
      </c>
      <c r="N173" s="11" t="str">
        <f t="shared" si="53"/>
        <v>IoU 100</v>
      </c>
      <c r="O173" s="11" t="str">
        <f t="shared" si="54"/>
        <v>IoU 75</v>
      </c>
      <c r="Q173" s="11">
        <v>0.78898491786592695</v>
      </c>
      <c r="R173" s="11">
        <v>0.301752603505207</v>
      </c>
      <c r="S173" s="11">
        <v>0.31891168599464764</v>
      </c>
      <c r="U173" s="11" t="str">
        <f t="shared" si="63"/>
        <v>IoU 100</v>
      </c>
      <c r="V173" s="11" t="str">
        <f t="shared" si="55"/>
        <v>IoU 50</v>
      </c>
      <c r="W173" s="11" t="str">
        <f t="shared" si="56"/>
        <v>IoU 50</v>
      </c>
      <c r="Y173">
        <v>0.82940956204802707</v>
      </c>
      <c r="Z173">
        <v>0.74494798185288391</v>
      </c>
      <c r="AA173">
        <v>0.27642770352369378</v>
      </c>
      <c r="AC173" s="11" t="str">
        <f t="shared" si="65"/>
        <v>IoU 100</v>
      </c>
      <c r="AD173" s="11" t="str">
        <f t="shared" si="57"/>
        <v>IoU 75</v>
      </c>
      <c r="AE173" s="11" t="str">
        <f t="shared" si="58"/>
        <v>IoU 50</v>
      </c>
      <c r="AG173">
        <v>0.44972463768115944</v>
      </c>
      <c r="AH173">
        <v>0.53475466900609403</v>
      </c>
      <c r="AI173">
        <v>0.24761930575884064</v>
      </c>
      <c r="AK173" s="11" t="str">
        <f t="shared" si="52"/>
        <v>IoU 50</v>
      </c>
      <c r="AL173" s="11" t="str">
        <f t="shared" si="59"/>
        <v>IoU 75</v>
      </c>
      <c r="AM173" s="11" t="str">
        <f t="shared" si="60"/>
        <v>IoU 25</v>
      </c>
    </row>
    <row r="174" spans="1:39" ht="15" x14ac:dyDescent="0.25">
      <c r="A174" s="11">
        <v>0.85335633536286937</v>
      </c>
      <c r="B174" s="11">
        <v>0.75138884273277806</v>
      </c>
      <c r="C174" s="11">
        <v>0.64185007266142735</v>
      </c>
      <c r="E174" s="11" t="str">
        <f t="shared" si="49"/>
        <v>IoU 100</v>
      </c>
      <c r="F174" s="11" t="str">
        <f t="shared" si="50"/>
        <v>IoU 100</v>
      </c>
      <c r="G174" s="11" t="str">
        <f t="shared" si="51"/>
        <v>IoU 75</v>
      </c>
      <c r="I174" s="11">
        <v>0.78935960898936597</v>
      </c>
      <c r="J174" s="11">
        <v>0.40769659788064694</v>
      </c>
      <c r="K174" s="11">
        <v>0.59502417789005424</v>
      </c>
      <c r="M174" s="11" t="str">
        <f t="shared" si="66"/>
        <v>IoU 100</v>
      </c>
      <c r="N174" s="11" t="str">
        <f t="shared" si="53"/>
        <v>IoU 50</v>
      </c>
      <c r="O174" s="11" t="str">
        <f t="shared" si="54"/>
        <v>IoU 75</v>
      </c>
      <c r="Q174" s="11">
        <v>0.57029829287637401</v>
      </c>
      <c r="R174" s="11">
        <v>0.32898913173862332</v>
      </c>
      <c r="S174" s="11">
        <v>0.26440215156910551</v>
      </c>
      <c r="U174" s="11" t="str">
        <f t="shared" si="63"/>
        <v>IoU 75</v>
      </c>
      <c r="V174" s="11" t="str">
        <f t="shared" si="55"/>
        <v>IoU 50</v>
      </c>
      <c r="W174" s="11" t="str">
        <f t="shared" si="56"/>
        <v>IoU 50</v>
      </c>
      <c r="Y174"/>
      <c r="Z174"/>
      <c r="AA174"/>
      <c r="AG174">
        <v>0.82169346859909465</v>
      </c>
      <c r="AH174">
        <v>0.35825545171339562</v>
      </c>
      <c r="AI174">
        <v>0.32938240798502805</v>
      </c>
      <c r="AK174" s="11" t="str">
        <f t="shared" si="52"/>
        <v>IoU 100</v>
      </c>
      <c r="AL174" s="11" t="str">
        <f t="shared" si="59"/>
        <v>IoU 50</v>
      </c>
      <c r="AM174" s="11" t="str">
        <f t="shared" si="60"/>
        <v>IoU 50</v>
      </c>
    </row>
    <row r="175" spans="1:39" ht="15" x14ac:dyDescent="0.25">
      <c r="A175" s="11">
        <v>0.87661714516586464</v>
      </c>
      <c r="B175" s="11">
        <v>0.72466931313455629</v>
      </c>
      <c r="C175" s="11">
        <v>0.65632580174683253</v>
      </c>
      <c r="E175" s="11" t="str">
        <f t="shared" si="49"/>
        <v>IoU 100</v>
      </c>
      <c r="F175" s="11" t="str">
        <f t="shared" si="50"/>
        <v>IoU 75</v>
      </c>
      <c r="G175" s="11" t="str">
        <f t="shared" si="51"/>
        <v>IoU 75</v>
      </c>
      <c r="I175" s="11">
        <v>0.44901055015003655</v>
      </c>
      <c r="J175" s="11">
        <v>0.59927309289352104</v>
      </c>
      <c r="K175" s="11">
        <v>0.72753550830866465</v>
      </c>
      <c r="M175" s="11" t="str">
        <f t="shared" si="66"/>
        <v>IoU 50</v>
      </c>
      <c r="N175" s="11" t="str">
        <f t="shared" si="53"/>
        <v>IoU 75</v>
      </c>
      <c r="O175" s="11" t="str">
        <f t="shared" si="54"/>
        <v>IoU 75</v>
      </c>
      <c r="Q175" s="11">
        <v>0.4189177221684125</v>
      </c>
      <c r="R175" s="11">
        <v>0.55645311832593014</v>
      </c>
      <c r="S175" s="11">
        <v>0.41454651134117854</v>
      </c>
      <c r="U175" s="11" t="str">
        <f t="shared" si="63"/>
        <v>IoU 50</v>
      </c>
      <c r="V175" s="11" t="str">
        <f t="shared" si="55"/>
        <v>IoU 75</v>
      </c>
      <c r="W175" s="11" t="str">
        <f t="shared" si="56"/>
        <v>IoU 50</v>
      </c>
      <c r="Y175">
        <v>0</v>
      </c>
      <c r="Z175">
        <v>0.18601627894587883</v>
      </c>
      <c r="AA175">
        <v>2.8739495798319328E-2</v>
      </c>
      <c r="AC175" s="11" t="str">
        <f>VLOOKUP(Y175,IoU_Thresholds,2,TRUE)</f>
        <v>IoU 25</v>
      </c>
      <c r="AD175" s="11" t="str">
        <f t="shared" si="57"/>
        <v>IoU 25</v>
      </c>
      <c r="AE175" s="11" t="str">
        <f t="shared" si="58"/>
        <v>IoU 25</v>
      </c>
      <c r="AG175">
        <v>0.85602314428069892</v>
      </c>
      <c r="AH175">
        <v>0.57242559628218304</v>
      </c>
      <c r="AI175">
        <v>8.7499999999999994E-2</v>
      </c>
      <c r="AK175" s="11" t="str">
        <f t="shared" si="52"/>
        <v>IoU 100</v>
      </c>
      <c r="AL175" s="11" t="str">
        <f t="shared" si="59"/>
        <v>IoU 75</v>
      </c>
      <c r="AM175" s="11" t="str">
        <f t="shared" si="60"/>
        <v>IoU 25</v>
      </c>
    </row>
    <row r="176" spans="1:39" ht="15" x14ac:dyDescent="0.25">
      <c r="A176" s="11">
        <v>0.7635501327825065</v>
      </c>
      <c r="B176" s="11">
        <v>0.73817262406911288</v>
      </c>
      <c r="C176" s="11">
        <v>0.54392196726344344</v>
      </c>
      <c r="E176" s="11" t="str">
        <f t="shared" si="49"/>
        <v>IoU 100</v>
      </c>
      <c r="F176" s="11" t="str">
        <f t="shared" si="50"/>
        <v>IoU 75</v>
      </c>
      <c r="G176" s="11" t="str">
        <f t="shared" si="51"/>
        <v>IoU 75</v>
      </c>
      <c r="I176" s="11">
        <v>0.83992710764294209</v>
      </c>
      <c r="J176" s="11">
        <v>0.77956425569398347</v>
      </c>
      <c r="K176" s="11">
        <v>0.67978041814668799</v>
      </c>
      <c r="M176" s="11" t="str">
        <f t="shared" si="66"/>
        <v>IoU 100</v>
      </c>
      <c r="N176" s="11" t="str">
        <f t="shared" si="53"/>
        <v>IoU 100</v>
      </c>
      <c r="O176" s="11" t="str">
        <f t="shared" si="54"/>
        <v>IoU 75</v>
      </c>
      <c r="Q176" s="11">
        <v>0.42930381141576668</v>
      </c>
      <c r="R176" s="11">
        <v>0.4274435566460304</v>
      </c>
      <c r="S176" s="11">
        <v>0.34457991537438548</v>
      </c>
      <c r="U176" s="11" t="str">
        <f t="shared" si="63"/>
        <v>IoU 50</v>
      </c>
      <c r="V176" s="11" t="str">
        <f t="shared" si="55"/>
        <v>IoU 50</v>
      </c>
      <c r="W176" s="11" t="str">
        <f t="shared" si="56"/>
        <v>IoU 50</v>
      </c>
      <c r="Y176"/>
      <c r="Z176"/>
      <c r="AA176"/>
      <c r="AG176">
        <v>0.41404551604615453</v>
      </c>
      <c r="AH176">
        <v>0.43910798918135513</v>
      </c>
      <c r="AI176">
        <v>0.26837660306537381</v>
      </c>
      <c r="AK176" s="11" t="str">
        <f t="shared" si="52"/>
        <v>IoU 50</v>
      </c>
      <c r="AL176" s="11" t="str">
        <f t="shared" si="59"/>
        <v>IoU 50</v>
      </c>
      <c r="AM176" s="11" t="str">
        <f t="shared" si="60"/>
        <v>IoU 50</v>
      </c>
    </row>
    <row r="177" spans="1:39" ht="15" x14ac:dyDescent="0.25">
      <c r="A177" s="11">
        <v>0.81624575119830145</v>
      </c>
      <c r="B177" s="11">
        <v>0.5992014841151152</v>
      </c>
      <c r="C177" s="11">
        <v>0.62293527377908142</v>
      </c>
      <c r="E177" s="11" t="str">
        <f t="shared" si="49"/>
        <v>IoU 100</v>
      </c>
      <c r="F177" s="11" t="str">
        <f t="shared" si="50"/>
        <v>IoU 75</v>
      </c>
      <c r="G177" s="11" t="str">
        <f t="shared" si="51"/>
        <v>IoU 75</v>
      </c>
      <c r="I177" s="11">
        <v>0.37234575996605657</v>
      </c>
      <c r="J177" s="11">
        <v>0.50307272161323247</v>
      </c>
      <c r="K177" s="11">
        <v>0.42608273634287991</v>
      </c>
      <c r="M177" s="11" t="str">
        <f t="shared" si="66"/>
        <v>IoU 50</v>
      </c>
      <c r="N177" s="11" t="str">
        <f t="shared" si="53"/>
        <v>IoU 75</v>
      </c>
      <c r="O177" s="11" t="str">
        <f t="shared" si="54"/>
        <v>IoU 50</v>
      </c>
      <c r="Q177" s="11">
        <v>0.55348723763811536</v>
      </c>
      <c r="R177" s="11">
        <v>0.34600199038508356</v>
      </c>
      <c r="S177" s="11">
        <v>0.40548328900421732</v>
      </c>
      <c r="U177" s="11" t="str">
        <f t="shared" si="63"/>
        <v>IoU 75</v>
      </c>
      <c r="V177" s="11" t="str">
        <f t="shared" si="55"/>
        <v>IoU 50</v>
      </c>
      <c r="W177" s="11" t="str">
        <f t="shared" si="56"/>
        <v>IoU 50</v>
      </c>
      <c r="Y177">
        <v>0.43725348332042718</v>
      </c>
      <c r="Z177">
        <v>0.63097230029677842</v>
      </c>
      <c r="AA177">
        <v>0.28185509056839475</v>
      </c>
      <c r="AC177" s="11" t="str">
        <f>VLOOKUP(Y177,IoU_Thresholds,2,TRUE)</f>
        <v>IoU 50</v>
      </c>
      <c r="AD177" s="11" t="str">
        <f t="shared" si="57"/>
        <v>IoU 75</v>
      </c>
      <c r="AE177" s="11" t="str">
        <f t="shared" si="58"/>
        <v>IoU 50</v>
      </c>
      <c r="AG177">
        <v>0.48564130123235233</v>
      </c>
      <c r="AH177">
        <v>0.38731314679954004</v>
      </c>
      <c r="AI177">
        <v>0.34180790960451979</v>
      </c>
      <c r="AK177" s="11" t="str">
        <f t="shared" si="52"/>
        <v>IoU 50</v>
      </c>
      <c r="AL177" s="11" t="str">
        <f t="shared" si="59"/>
        <v>IoU 50</v>
      </c>
      <c r="AM177" s="11" t="str">
        <f t="shared" si="60"/>
        <v>IoU 50</v>
      </c>
    </row>
    <row r="178" spans="1:39" ht="15" x14ac:dyDescent="0.25">
      <c r="A178" s="11">
        <v>0.91482268964203939</v>
      </c>
      <c r="B178" s="11">
        <v>0.51325870550441965</v>
      </c>
      <c r="C178" s="11">
        <v>0.80576433915535195</v>
      </c>
      <c r="E178" s="11" t="str">
        <f t="shared" si="49"/>
        <v>IoU 100</v>
      </c>
      <c r="F178" s="11" t="str">
        <f t="shared" si="50"/>
        <v>IoU 75</v>
      </c>
      <c r="G178" s="11" t="str">
        <f t="shared" si="51"/>
        <v>IoU 100</v>
      </c>
      <c r="I178" s="11">
        <v>0.77877911595618454</v>
      </c>
      <c r="J178" s="11">
        <v>0.38066672772231891</v>
      </c>
      <c r="K178" s="11">
        <v>0.30268099987048308</v>
      </c>
      <c r="M178" s="11" t="str">
        <f t="shared" si="66"/>
        <v>IoU 100</v>
      </c>
      <c r="N178" s="11" t="str">
        <f t="shared" si="53"/>
        <v>IoU 50</v>
      </c>
      <c r="O178" s="11" t="str">
        <f t="shared" si="54"/>
        <v>IoU 50</v>
      </c>
      <c r="Q178" s="11">
        <v>0.89483351514050402</v>
      </c>
      <c r="R178" s="11">
        <v>0.38495845161552761</v>
      </c>
      <c r="S178" s="11">
        <v>0.34256239518670456</v>
      </c>
      <c r="U178" s="11" t="str">
        <f t="shared" si="63"/>
        <v>IoU 100</v>
      </c>
      <c r="V178" s="11" t="str">
        <f t="shared" si="55"/>
        <v>IoU 50</v>
      </c>
      <c r="W178" s="11" t="str">
        <f t="shared" si="56"/>
        <v>IoU 50</v>
      </c>
      <c r="Y178">
        <v>0.81632680023711068</v>
      </c>
      <c r="Z178">
        <v>0.68313180925185846</v>
      </c>
      <c r="AA178">
        <v>0.65570453282340635</v>
      </c>
      <c r="AC178" s="11" t="str">
        <f>VLOOKUP(Y178,IoU_Thresholds,2,TRUE)</f>
        <v>IoU 100</v>
      </c>
      <c r="AD178" s="11" t="str">
        <f t="shared" si="57"/>
        <v>IoU 75</v>
      </c>
      <c r="AE178" s="11" t="str">
        <f t="shared" si="58"/>
        <v>IoU 75</v>
      </c>
      <c r="AG178">
        <v>0.50006316273971818</v>
      </c>
      <c r="AH178">
        <v>0.31954633332797844</v>
      </c>
      <c r="AI178">
        <v>0.50976429967146442</v>
      </c>
      <c r="AK178" s="11" t="str">
        <f t="shared" si="52"/>
        <v>IoU 75</v>
      </c>
      <c r="AL178" s="11" t="str">
        <f t="shared" si="59"/>
        <v>IoU 50</v>
      </c>
      <c r="AM178" s="11" t="str">
        <f t="shared" si="60"/>
        <v>IoU 75</v>
      </c>
    </row>
    <row r="179" spans="1:39" ht="15" x14ac:dyDescent="0.25">
      <c r="A179" s="11">
        <v>0.42839447334791353</v>
      </c>
      <c r="B179" s="11">
        <v>0.43357660106287188</v>
      </c>
      <c r="C179" s="11">
        <v>0.46296952515946138</v>
      </c>
      <c r="E179" s="11" t="str">
        <f t="shared" si="49"/>
        <v>IoU 50</v>
      </c>
      <c r="F179" s="11" t="str">
        <f t="shared" si="50"/>
        <v>IoU 50</v>
      </c>
      <c r="G179" s="11" t="str">
        <f t="shared" si="51"/>
        <v>IoU 50</v>
      </c>
      <c r="I179" s="11">
        <v>0.85898252931912933</v>
      </c>
      <c r="J179" s="11">
        <v>0.72674365937099406</v>
      </c>
      <c r="K179" s="11">
        <v>0.62112012871312738</v>
      </c>
      <c r="M179" s="11" t="str">
        <f t="shared" si="66"/>
        <v>IoU 100</v>
      </c>
      <c r="N179" s="11" t="str">
        <f t="shared" si="53"/>
        <v>IoU 75</v>
      </c>
      <c r="O179" s="11" t="str">
        <f t="shared" si="54"/>
        <v>IoU 75</v>
      </c>
      <c r="Q179" s="11">
        <v>0.8765051960562944</v>
      </c>
      <c r="R179" s="11">
        <v>0.63889442664560037</v>
      </c>
      <c r="S179" s="11">
        <v>0.63262385148791322</v>
      </c>
      <c r="U179" s="11" t="str">
        <f t="shared" si="63"/>
        <v>IoU 100</v>
      </c>
      <c r="V179" s="11" t="str">
        <f t="shared" si="55"/>
        <v>IoU 75</v>
      </c>
      <c r="W179" s="11" t="str">
        <f t="shared" si="56"/>
        <v>IoU 75</v>
      </c>
      <c r="Y179">
        <v>0.48398142968943142</v>
      </c>
      <c r="Z179">
        <v>0.63700193408371464</v>
      </c>
      <c r="AA179">
        <v>0.24150902837489252</v>
      </c>
      <c r="AC179" s="11" t="str">
        <f>VLOOKUP(Y179,IoU_Thresholds,2,TRUE)</f>
        <v>IoU 50</v>
      </c>
      <c r="AD179" s="11" t="str">
        <f t="shared" si="57"/>
        <v>IoU 75</v>
      </c>
      <c r="AE179" s="11" t="str">
        <f t="shared" si="58"/>
        <v>IoU 25</v>
      </c>
      <c r="AG179">
        <v>0.860024421503641</v>
      </c>
      <c r="AH179">
        <v>0.55554456098687244</v>
      </c>
      <c r="AI179">
        <v>0.51508312149829028</v>
      </c>
      <c r="AK179" s="11" t="str">
        <f t="shared" si="52"/>
        <v>IoU 100</v>
      </c>
      <c r="AL179" s="11" t="str">
        <f t="shared" si="59"/>
        <v>IoU 75</v>
      </c>
      <c r="AM179" s="11" t="str">
        <f t="shared" si="60"/>
        <v>IoU 75</v>
      </c>
    </row>
    <row r="180" spans="1:39" ht="15" x14ac:dyDescent="0.25">
      <c r="A180" s="11">
        <v>0.4605989266245889</v>
      </c>
      <c r="B180" s="11">
        <v>0.59408960640579733</v>
      </c>
      <c r="C180" s="11">
        <v>0.41426389846986056</v>
      </c>
      <c r="E180" s="11" t="str">
        <f t="shared" si="49"/>
        <v>IoU 50</v>
      </c>
      <c r="F180" s="11" t="str">
        <f t="shared" si="50"/>
        <v>IoU 75</v>
      </c>
      <c r="G180" s="11" t="str">
        <f t="shared" si="51"/>
        <v>IoU 50</v>
      </c>
      <c r="I180" s="11">
        <v>0.78432759646877181</v>
      </c>
      <c r="J180" s="11">
        <v>0.68218161911225894</v>
      </c>
      <c r="K180" s="11">
        <v>0.45466775008011023</v>
      </c>
      <c r="M180" s="11" t="str">
        <f t="shared" si="66"/>
        <v>IoU 100</v>
      </c>
      <c r="N180" s="11" t="str">
        <f t="shared" si="53"/>
        <v>IoU 75</v>
      </c>
      <c r="O180" s="11" t="str">
        <f t="shared" si="54"/>
        <v>IoU 50</v>
      </c>
      <c r="Q180" s="11">
        <v>0.83988521050265952</v>
      </c>
      <c r="R180" s="11">
        <v>0.80543687652487828</v>
      </c>
      <c r="S180" s="11">
        <v>0.61080649996639291</v>
      </c>
      <c r="U180" s="11" t="str">
        <f t="shared" si="63"/>
        <v>IoU 100</v>
      </c>
      <c r="V180" s="11" t="str">
        <f t="shared" si="55"/>
        <v>IoU 100</v>
      </c>
      <c r="W180" s="11" t="str">
        <f t="shared" si="56"/>
        <v>IoU 75</v>
      </c>
      <c r="Y180"/>
      <c r="Z180"/>
      <c r="AA180"/>
      <c r="AG180">
        <v>0.77500069031200969</v>
      </c>
      <c r="AH180">
        <v>0.45569072320712078</v>
      </c>
      <c r="AI180">
        <v>0.26949198587340395</v>
      </c>
      <c r="AK180" s="11" t="str">
        <f t="shared" si="52"/>
        <v>IoU 100</v>
      </c>
      <c r="AL180" s="11" t="str">
        <f t="shared" si="59"/>
        <v>IoU 50</v>
      </c>
      <c r="AM180" s="11" t="str">
        <f t="shared" si="60"/>
        <v>IoU 50</v>
      </c>
    </row>
    <row r="181" spans="1:39" ht="15" x14ac:dyDescent="0.25">
      <c r="A181" s="11">
        <v>0.53525502657034651</v>
      </c>
      <c r="B181" s="11">
        <v>0.48084705883065298</v>
      </c>
      <c r="C181" s="11">
        <v>0.50861794434077245</v>
      </c>
      <c r="E181" s="11" t="str">
        <f t="shared" si="49"/>
        <v>IoU 75</v>
      </c>
      <c r="F181" s="11" t="str">
        <f t="shared" si="50"/>
        <v>IoU 50</v>
      </c>
      <c r="G181" s="11" t="str">
        <f t="shared" si="51"/>
        <v>IoU 75</v>
      </c>
      <c r="I181" s="11">
        <v>0.87024991299750254</v>
      </c>
      <c r="J181" s="11">
        <v>0.68842036846178556</v>
      </c>
      <c r="K181" s="11">
        <v>0.71750779208849336</v>
      </c>
      <c r="M181" s="11" t="str">
        <f t="shared" si="66"/>
        <v>IoU 100</v>
      </c>
      <c r="N181" s="11" t="str">
        <f t="shared" si="53"/>
        <v>IoU 75</v>
      </c>
      <c r="O181" s="11" t="str">
        <f t="shared" si="54"/>
        <v>IoU 75</v>
      </c>
      <c r="Q181" s="11">
        <v>0.80822151644265361</v>
      </c>
      <c r="R181" s="11">
        <v>0.37666258586114271</v>
      </c>
      <c r="S181" s="11">
        <v>0.19061190896095304</v>
      </c>
      <c r="U181" s="11" t="str">
        <f t="shared" si="63"/>
        <v>IoU 100</v>
      </c>
      <c r="V181" s="11" t="str">
        <f t="shared" si="55"/>
        <v>IoU 50</v>
      </c>
      <c r="W181" s="11" t="str">
        <f t="shared" si="56"/>
        <v>IoU 25</v>
      </c>
      <c r="Y181">
        <v>0.81866372044416291</v>
      </c>
      <c r="Z181">
        <v>0.48450027894738829</v>
      </c>
      <c r="AA181">
        <v>0.37103709714631217</v>
      </c>
      <c r="AC181" s="11" t="str">
        <f t="shared" ref="AC181:AC187" si="67">VLOOKUP(Y181,IoU_Thresholds,2,TRUE)</f>
        <v>IoU 100</v>
      </c>
      <c r="AD181" s="11" t="str">
        <f t="shared" si="57"/>
        <v>IoU 50</v>
      </c>
      <c r="AE181" s="11" t="str">
        <f t="shared" si="58"/>
        <v>IoU 50</v>
      </c>
      <c r="AG181">
        <v>0.46559846886195222</v>
      </c>
      <c r="AH181">
        <v>0.67745039182666589</v>
      </c>
      <c r="AI181">
        <v>0.22583802332645689</v>
      </c>
      <c r="AK181" s="11" t="str">
        <f t="shared" si="52"/>
        <v>IoU 50</v>
      </c>
      <c r="AL181" s="11" t="str">
        <f t="shared" si="59"/>
        <v>IoU 75</v>
      </c>
      <c r="AM181" s="11" t="str">
        <f t="shared" si="60"/>
        <v>IoU 25</v>
      </c>
    </row>
    <row r="182" spans="1:39" ht="15" x14ac:dyDescent="0.25">
      <c r="A182" s="11">
        <v>0.39482435294190504</v>
      </c>
      <c r="B182" s="11">
        <v>0.33460032838713288</v>
      </c>
      <c r="C182" s="11">
        <v>0.39942923042783018</v>
      </c>
      <c r="E182" s="11" t="str">
        <f t="shared" si="49"/>
        <v>IoU 50</v>
      </c>
      <c r="F182" s="11" t="str">
        <f t="shared" si="50"/>
        <v>IoU 50</v>
      </c>
      <c r="G182" s="11" t="str">
        <f t="shared" si="51"/>
        <v>IoU 50</v>
      </c>
      <c r="I182" s="11">
        <v>0.75777272810417107</v>
      </c>
      <c r="J182" s="11">
        <v>0.47579978225059816</v>
      </c>
      <c r="K182" s="11">
        <v>0.3095720621318096</v>
      </c>
      <c r="M182" s="11" t="str">
        <f t="shared" si="66"/>
        <v>IoU 100</v>
      </c>
      <c r="N182" s="11" t="str">
        <f t="shared" si="53"/>
        <v>IoU 50</v>
      </c>
      <c r="O182" s="11" t="str">
        <f t="shared" si="54"/>
        <v>IoU 50</v>
      </c>
      <c r="Q182" s="11">
        <v>0.86951936281905196</v>
      </c>
      <c r="R182" s="11">
        <v>0.64138787435199496</v>
      </c>
      <c r="S182" s="11">
        <v>0.54847920222891555</v>
      </c>
      <c r="U182" s="11" t="str">
        <f t="shared" si="63"/>
        <v>IoU 100</v>
      </c>
      <c r="V182" s="11" t="str">
        <f t="shared" si="55"/>
        <v>IoU 75</v>
      </c>
      <c r="W182" s="11" t="str">
        <f t="shared" si="56"/>
        <v>IoU 75</v>
      </c>
      <c r="Y182">
        <v>0.50198491601585638</v>
      </c>
      <c r="Z182">
        <v>0.64805504089264587</v>
      </c>
      <c r="AA182">
        <v>0.18569157392686805</v>
      </c>
      <c r="AC182" s="11" t="str">
        <f t="shared" si="67"/>
        <v>IoU 75</v>
      </c>
      <c r="AD182" s="11" t="str">
        <f t="shared" si="57"/>
        <v>IoU 75</v>
      </c>
      <c r="AE182" s="11" t="str">
        <f t="shared" si="58"/>
        <v>IoU 25</v>
      </c>
      <c r="AG182">
        <v>0.90503274748261586</v>
      </c>
      <c r="AH182">
        <v>0.64141403490150672</v>
      </c>
      <c r="AI182">
        <v>0.42942601939942238</v>
      </c>
      <c r="AK182" s="11" t="str">
        <f t="shared" si="52"/>
        <v>IoU 100</v>
      </c>
      <c r="AL182" s="11" t="str">
        <f t="shared" si="59"/>
        <v>IoU 75</v>
      </c>
      <c r="AM182" s="11" t="str">
        <f t="shared" si="60"/>
        <v>IoU 50</v>
      </c>
    </row>
    <row r="183" spans="1:39" ht="15" x14ac:dyDescent="0.25">
      <c r="A183" s="11">
        <v>0.86256452219726354</v>
      </c>
      <c r="B183" s="11">
        <v>0.61230846366019442</v>
      </c>
      <c r="C183" s="11">
        <v>0.70274870278762958</v>
      </c>
      <c r="E183" s="11" t="str">
        <f t="shared" si="49"/>
        <v>IoU 100</v>
      </c>
      <c r="F183" s="11" t="str">
        <f t="shared" si="50"/>
        <v>IoU 75</v>
      </c>
      <c r="G183" s="11" t="str">
        <f t="shared" si="51"/>
        <v>IoU 75</v>
      </c>
      <c r="I183" s="11">
        <v>0.52604823007878732</v>
      </c>
      <c r="J183" s="11">
        <v>0.45780577658510002</v>
      </c>
      <c r="K183" s="11">
        <v>0.25627423377439817</v>
      </c>
      <c r="M183" s="11" t="str">
        <f t="shared" si="66"/>
        <v>IoU 75</v>
      </c>
      <c r="N183" s="11" t="str">
        <f t="shared" si="53"/>
        <v>IoU 50</v>
      </c>
      <c r="O183" s="11" t="str">
        <f t="shared" si="54"/>
        <v>IoU 50</v>
      </c>
      <c r="Q183" s="11">
        <v>0.78690745233027659</v>
      </c>
      <c r="R183" s="11">
        <v>0.72496100203130542</v>
      </c>
      <c r="S183" s="11">
        <v>0.69738028521041251</v>
      </c>
      <c r="U183" s="11" t="str">
        <f t="shared" ref="U183:U200" si="68">VLOOKUP(Q183,IoU_Thresholds,2,TRUE)</f>
        <v>IoU 100</v>
      </c>
      <c r="V183" s="11" t="str">
        <f t="shared" si="55"/>
        <v>IoU 75</v>
      </c>
      <c r="W183" s="11" t="str">
        <f t="shared" si="56"/>
        <v>IoU 75</v>
      </c>
      <c r="Y183">
        <v>0.84252636412583803</v>
      </c>
      <c r="Z183">
        <v>0.79845586724274065</v>
      </c>
      <c r="AA183">
        <v>0.34731366096788097</v>
      </c>
      <c r="AC183" s="11" t="str">
        <f t="shared" si="67"/>
        <v>IoU 100</v>
      </c>
      <c r="AD183" s="11" t="str">
        <f t="shared" si="57"/>
        <v>IoU 100</v>
      </c>
      <c r="AE183" s="11" t="str">
        <f t="shared" si="58"/>
        <v>IoU 50</v>
      </c>
      <c r="AG183">
        <v>0.86317915252040955</v>
      </c>
      <c r="AH183">
        <v>0.49475952770594195</v>
      </c>
      <c r="AI183">
        <v>0.40054621186251094</v>
      </c>
      <c r="AK183" s="11" t="str">
        <f t="shared" si="52"/>
        <v>IoU 100</v>
      </c>
      <c r="AL183" s="11" t="str">
        <f t="shared" si="59"/>
        <v>IoU 50</v>
      </c>
      <c r="AM183" s="11" t="str">
        <f t="shared" si="60"/>
        <v>IoU 50</v>
      </c>
    </row>
    <row r="184" spans="1:39" ht="15" x14ac:dyDescent="0.25">
      <c r="A184" s="11">
        <v>0.87010759425137629</v>
      </c>
      <c r="B184" s="11">
        <v>0.35976331360946745</v>
      </c>
      <c r="C184" s="11">
        <v>0.64785882881870294</v>
      </c>
      <c r="E184" s="11" t="str">
        <f t="shared" si="49"/>
        <v>IoU 100</v>
      </c>
      <c r="F184" s="11" t="str">
        <f t="shared" si="50"/>
        <v>IoU 50</v>
      </c>
      <c r="G184" s="11" t="str">
        <f t="shared" si="51"/>
        <v>IoU 75</v>
      </c>
      <c r="I184" s="11">
        <v>0.55584876868795985</v>
      </c>
      <c r="J184" s="11">
        <v>0.49356461412161651</v>
      </c>
      <c r="K184" s="11">
        <v>0.64978343382398596</v>
      </c>
      <c r="M184" s="11" t="str">
        <f t="shared" si="66"/>
        <v>IoU 75</v>
      </c>
      <c r="N184" s="11" t="str">
        <f t="shared" si="53"/>
        <v>IoU 50</v>
      </c>
      <c r="O184" s="11" t="str">
        <f t="shared" si="54"/>
        <v>IoU 75</v>
      </c>
      <c r="Q184" s="11">
        <v>0.89973092970971491</v>
      </c>
      <c r="R184" s="11">
        <v>0.90124028517159416</v>
      </c>
      <c r="S184" s="11">
        <v>0.62286987366543423</v>
      </c>
      <c r="U184" s="11" t="str">
        <f t="shared" si="68"/>
        <v>IoU 100</v>
      </c>
      <c r="V184" s="11" t="str">
        <f t="shared" si="55"/>
        <v>IoU 100</v>
      </c>
      <c r="W184" s="11" t="str">
        <f t="shared" si="56"/>
        <v>IoU 75</v>
      </c>
      <c r="Y184">
        <v>0.63856717097034654</v>
      </c>
      <c r="Z184">
        <v>0.68095803076064765</v>
      </c>
      <c r="AA184">
        <v>0.25585106382978723</v>
      </c>
      <c r="AC184" s="11" t="str">
        <f t="shared" si="67"/>
        <v>IoU 75</v>
      </c>
      <c r="AD184" s="11" t="str">
        <f t="shared" si="57"/>
        <v>IoU 75</v>
      </c>
      <c r="AE184" s="11" t="str">
        <f t="shared" si="58"/>
        <v>IoU 50</v>
      </c>
      <c r="AG184">
        <v>0.86497002953297208</v>
      </c>
      <c r="AH184">
        <v>0.41177299832570258</v>
      </c>
      <c r="AI184">
        <v>0.65871134790618924</v>
      </c>
      <c r="AK184" s="11" t="str">
        <f t="shared" si="52"/>
        <v>IoU 100</v>
      </c>
      <c r="AL184" s="11" t="str">
        <f t="shared" si="59"/>
        <v>IoU 50</v>
      </c>
      <c r="AM184" s="11" t="str">
        <f t="shared" si="60"/>
        <v>IoU 75</v>
      </c>
    </row>
    <row r="185" spans="1:39" ht="15" x14ac:dyDescent="0.25">
      <c r="A185" s="11">
        <v>0.54330115218895636</v>
      </c>
      <c r="B185" s="11">
        <v>0.38266478176356244</v>
      </c>
      <c r="C185" s="11">
        <v>0.49684114748157737</v>
      </c>
      <c r="E185" s="11" t="str">
        <f t="shared" si="49"/>
        <v>IoU 75</v>
      </c>
      <c r="F185" s="11" t="str">
        <f t="shared" si="50"/>
        <v>IoU 50</v>
      </c>
      <c r="G185" s="11" t="str">
        <f t="shared" si="51"/>
        <v>IoU 50</v>
      </c>
      <c r="I185" s="11">
        <v>0.79375035007127348</v>
      </c>
      <c r="J185" s="11">
        <v>0.6995485852215777</v>
      </c>
      <c r="K185" s="11">
        <v>0.40492882871671354</v>
      </c>
      <c r="M185" s="11" t="str">
        <f t="shared" si="66"/>
        <v>IoU 100</v>
      </c>
      <c r="N185" s="11" t="str">
        <f t="shared" si="53"/>
        <v>IoU 75</v>
      </c>
      <c r="O185" s="11" t="str">
        <f t="shared" si="54"/>
        <v>IoU 50</v>
      </c>
      <c r="Q185" s="11">
        <v>0.38059924076004514</v>
      </c>
      <c r="R185" s="11">
        <v>0.35248891443703217</v>
      </c>
      <c r="S185" s="11">
        <v>0.33670115037028264</v>
      </c>
      <c r="U185" s="11" t="str">
        <f t="shared" si="68"/>
        <v>IoU 50</v>
      </c>
      <c r="V185" s="11" t="str">
        <f t="shared" si="55"/>
        <v>IoU 50</v>
      </c>
      <c r="W185" s="11" t="str">
        <f t="shared" si="56"/>
        <v>IoU 50</v>
      </c>
      <c r="Y185">
        <v>0.16030571993025422</v>
      </c>
      <c r="Z185">
        <v>7.2191600409736113E-3</v>
      </c>
      <c r="AA185">
        <v>0</v>
      </c>
      <c r="AC185" s="11" t="str">
        <f t="shared" si="67"/>
        <v>IoU 25</v>
      </c>
      <c r="AD185" s="11" t="str">
        <f t="shared" si="57"/>
        <v>IoU 25</v>
      </c>
      <c r="AE185" s="11" t="str">
        <f t="shared" si="58"/>
        <v>IoU 25</v>
      </c>
      <c r="AG185">
        <v>0.42664702864613502</v>
      </c>
      <c r="AH185">
        <v>0.28719971475137596</v>
      </c>
      <c r="AI185">
        <v>0.34200673904904533</v>
      </c>
      <c r="AK185" s="11" t="str">
        <f t="shared" si="52"/>
        <v>IoU 50</v>
      </c>
      <c r="AL185" s="11" t="str">
        <f t="shared" si="59"/>
        <v>IoU 50</v>
      </c>
      <c r="AM185" s="11" t="str">
        <f t="shared" si="60"/>
        <v>IoU 50</v>
      </c>
    </row>
    <row r="186" spans="1:39" ht="15" x14ac:dyDescent="0.25">
      <c r="A186" s="11">
        <v>0.38300139423481327</v>
      </c>
      <c r="B186" s="11">
        <v>0.39098684148162011</v>
      </c>
      <c r="C186" s="11">
        <v>0.23512697384712983</v>
      </c>
      <c r="E186" s="11" t="str">
        <f t="shared" si="49"/>
        <v>IoU 50</v>
      </c>
      <c r="F186" s="11" t="str">
        <f t="shared" si="50"/>
        <v>IoU 50</v>
      </c>
      <c r="G186" s="11" t="str">
        <f t="shared" si="51"/>
        <v>IoU 25</v>
      </c>
      <c r="I186" s="11">
        <v>0.90008810338383416</v>
      </c>
      <c r="J186" s="11">
        <v>0.74140632538085272</v>
      </c>
      <c r="K186" s="11">
        <v>0.55040712259515767</v>
      </c>
      <c r="M186" s="11" t="str">
        <f t="shared" si="66"/>
        <v>IoU 100</v>
      </c>
      <c r="N186" s="11" t="str">
        <f t="shared" si="53"/>
        <v>IoU 75</v>
      </c>
      <c r="O186" s="11" t="str">
        <f t="shared" si="54"/>
        <v>IoU 75</v>
      </c>
      <c r="Q186" s="11">
        <v>0.775048535040327</v>
      </c>
      <c r="R186" s="11">
        <v>0.39931742616130772</v>
      </c>
      <c r="S186" s="11">
        <v>0.3457741415346457</v>
      </c>
      <c r="U186" s="11" t="str">
        <f t="shared" si="68"/>
        <v>IoU 100</v>
      </c>
      <c r="V186" s="11" t="str">
        <f t="shared" si="55"/>
        <v>IoU 50</v>
      </c>
      <c r="W186" s="11" t="str">
        <f t="shared" si="56"/>
        <v>IoU 50</v>
      </c>
      <c r="Y186">
        <v>0.82815141419953853</v>
      </c>
      <c r="Z186">
        <v>0.8119185715972832</v>
      </c>
      <c r="AA186">
        <v>0.49308217966696982</v>
      </c>
      <c r="AC186" s="11" t="str">
        <f t="shared" si="67"/>
        <v>IoU 100</v>
      </c>
      <c r="AD186" s="11" t="str">
        <f t="shared" si="57"/>
        <v>IoU 100</v>
      </c>
      <c r="AE186" s="11" t="str">
        <f t="shared" si="58"/>
        <v>IoU 50</v>
      </c>
      <c r="AG186">
        <v>0.43767445998294935</v>
      </c>
      <c r="AH186">
        <v>0.17664092664092665</v>
      </c>
      <c r="AI186">
        <v>0.16890393167937759</v>
      </c>
      <c r="AK186" s="11" t="str">
        <f t="shared" si="52"/>
        <v>IoU 50</v>
      </c>
      <c r="AL186" s="11" t="str">
        <f t="shared" si="59"/>
        <v>IoU 25</v>
      </c>
      <c r="AM186" s="11" t="str">
        <f t="shared" si="60"/>
        <v>IoU 25</v>
      </c>
    </row>
    <row r="187" spans="1:39" ht="15" x14ac:dyDescent="0.25">
      <c r="A187" s="11">
        <v>0.86675257930695804</v>
      </c>
      <c r="B187" s="11">
        <v>0.73739156667317207</v>
      </c>
      <c r="C187" s="11">
        <v>0.73083056194549756</v>
      </c>
      <c r="E187" s="11" t="str">
        <f t="shared" si="49"/>
        <v>IoU 100</v>
      </c>
      <c r="F187" s="11" t="str">
        <f t="shared" si="50"/>
        <v>IoU 75</v>
      </c>
      <c r="G187" s="11" t="str">
        <f t="shared" si="51"/>
        <v>IoU 75</v>
      </c>
      <c r="I187" s="11">
        <v>0.41011409844015939</v>
      </c>
      <c r="J187" s="11">
        <v>0.44945206669975646</v>
      </c>
      <c r="K187" s="11">
        <v>0.43313594981050318</v>
      </c>
      <c r="M187" s="11" t="str">
        <f t="shared" si="66"/>
        <v>IoU 50</v>
      </c>
      <c r="N187" s="11" t="str">
        <f t="shared" si="53"/>
        <v>IoU 50</v>
      </c>
      <c r="O187" s="11" t="str">
        <f t="shared" si="54"/>
        <v>IoU 50</v>
      </c>
      <c r="Q187" s="11">
        <v>0.83332757695247994</v>
      </c>
      <c r="R187" s="11">
        <v>0.65556265621586252</v>
      </c>
      <c r="S187" s="11">
        <v>0.50844760745092843</v>
      </c>
      <c r="U187" s="11" t="str">
        <f t="shared" si="68"/>
        <v>IoU 100</v>
      </c>
      <c r="V187" s="11" t="str">
        <f t="shared" si="55"/>
        <v>IoU 75</v>
      </c>
      <c r="W187" s="11" t="str">
        <f t="shared" si="56"/>
        <v>IoU 75</v>
      </c>
      <c r="Y187">
        <v>0.47014009913615051</v>
      </c>
      <c r="Z187">
        <v>0.496081428792018</v>
      </c>
      <c r="AA187">
        <v>0.34201095835913303</v>
      </c>
      <c r="AC187" s="11" t="str">
        <f t="shared" si="67"/>
        <v>IoU 50</v>
      </c>
      <c r="AD187" s="11" t="str">
        <f t="shared" si="57"/>
        <v>IoU 50</v>
      </c>
      <c r="AE187" s="11" t="str">
        <f t="shared" si="58"/>
        <v>IoU 50</v>
      </c>
      <c r="AG187">
        <v>0.88850070489212341</v>
      </c>
      <c r="AH187">
        <v>0.5879160131915222</v>
      </c>
      <c r="AI187">
        <v>0.50626892222431286</v>
      </c>
      <c r="AK187" s="11" t="str">
        <f t="shared" si="52"/>
        <v>IoU 100</v>
      </c>
      <c r="AL187" s="11" t="str">
        <f t="shared" si="59"/>
        <v>IoU 75</v>
      </c>
      <c r="AM187" s="11" t="str">
        <f t="shared" si="60"/>
        <v>IoU 75</v>
      </c>
    </row>
    <row r="188" spans="1:39" ht="15" x14ac:dyDescent="0.25">
      <c r="A188" s="11">
        <v>0.82222219896611692</v>
      </c>
      <c r="B188" s="11">
        <v>0.77653432165029501</v>
      </c>
      <c r="C188" s="11">
        <v>0.64438517027481756</v>
      </c>
      <c r="E188" s="11" t="str">
        <f t="shared" si="49"/>
        <v>IoU 100</v>
      </c>
      <c r="F188" s="11" t="str">
        <f t="shared" si="50"/>
        <v>IoU 100</v>
      </c>
      <c r="G188" s="11" t="str">
        <f t="shared" si="51"/>
        <v>IoU 75</v>
      </c>
      <c r="I188" s="11">
        <v>0.81871162580892287</v>
      </c>
      <c r="J188" s="11">
        <v>0.70274215873872881</v>
      </c>
      <c r="K188" s="11">
        <v>0.72619307664784372</v>
      </c>
      <c r="M188" s="11" t="str">
        <f t="shared" si="66"/>
        <v>IoU 100</v>
      </c>
      <c r="N188" s="11" t="str">
        <f t="shared" si="53"/>
        <v>IoU 75</v>
      </c>
      <c r="O188" s="11" t="str">
        <f t="shared" si="54"/>
        <v>IoU 75</v>
      </c>
      <c r="Q188" s="11">
        <v>0.87192449105204206</v>
      </c>
      <c r="R188" s="11">
        <v>0.47496688905525264</v>
      </c>
      <c r="S188" s="11">
        <v>0.63972422688741282</v>
      </c>
      <c r="U188" s="11" t="str">
        <f t="shared" si="68"/>
        <v>IoU 100</v>
      </c>
      <c r="V188" s="11" t="str">
        <f t="shared" si="55"/>
        <v>IoU 50</v>
      </c>
      <c r="W188" s="11" t="str">
        <f t="shared" si="56"/>
        <v>IoU 75</v>
      </c>
      <c r="Y188"/>
      <c r="Z188"/>
      <c r="AA188"/>
      <c r="AG188">
        <v>0.45595979024828737</v>
      </c>
      <c r="AH188">
        <v>0.37311519669316812</v>
      </c>
      <c r="AI188">
        <v>0.15795328142380421</v>
      </c>
      <c r="AK188" s="11" t="str">
        <f t="shared" si="52"/>
        <v>IoU 50</v>
      </c>
      <c r="AL188" s="11" t="str">
        <f t="shared" si="59"/>
        <v>IoU 50</v>
      </c>
      <c r="AM188" s="11" t="str">
        <f t="shared" si="60"/>
        <v>IoU 25</v>
      </c>
    </row>
    <row r="189" spans="1:39" ht="15" x14ac:dyDescent="0.25">
      <c r="A189" s="11">
        <v>0.53571391251231526</v>
      </c>
      <c r="B189" s="11">
        <v>0.4142875937376661</v>
      </c>
      <c r="C189" s="11">
        <v>0.42032575268193229</v>
      </c>
      <c r="E189" s="11" t="str">
        <f t="shared" si="49"/>
        <v>IoU 75</v>
      </c>
      <c r="F189" s="11" t="str">
        <f t="shared" si="50"/>
        <v>IoU 50</v>
      </c>
      <c r="G189" s="11" t="str">
        <f t="shared" si="51"/>
        <v>IoU 50</v>
      </c>
      <c r="I189" s="11">
        <v>0.78344579542116999</v>
      </c>
      <c r="J189" s="11">
        <v>0.3382185733322024</v>
      </c>
      <c r="K189" s="11">
        <v>0.35678085551102834</v>
      </c>
      <c r="M189" s="11" t="str">
        <f t="shared" si="66"/>
        <v>IoU 100</v>
      </c>
      <c r="N189" s="11" t="str">
        <f t="shared" si="53"/>
        <v>IoU 50</v>
      </c>
      <c r="O189" s="11" t="str">
        <f t="shared" si="54"/>
        <v>IoU 50</v>
      </c>
      <c r="Q189" s="11">
        <v>0.84852815059413034</v>
      </c>
      <c r="R189" s="11">
        <v>0.73559481172516028</v>
      </c>
      <c r="S189" s="11">
        <v>0.70699553308457486</v>
      </c>
      <c r="U189" s="11" t="str">
        <f t="shared" si="68"/>
        <v>IoU 100</v>
      </c>
      <c r="V189" s="11" t="str">
        <f t="shared" si="55"/>
        <v>IoU 75</v>
      </c>
      <c r="W189" s="11" t="str">
        <f t="shared" si="56"/>
        <v>IoU 75</v>
      </c>
      <c r="Y189">
        <v>0.55818165979189149</v>
      </c>
      <c r="Z189">
        <v>0.48125194786553877</v>
      </c>
      <c r="AA189">
        <v>0.34222208905568091</v>
      </c>
      <c r="AC189" s="11" t="str">
        <f t="shared" ref="AC189:AC201" si="69">VLOOKUP(Y189,IoU_Thresholds,2,TRUE)</f>
        <v>IoU 75</v>
      </c>
      <c r="AD189" s="11" t="str">
        <f t="shared" si="57"/>
        <v>IoU 50</v>
      </c>
      <c r="AE189" s="11" t="str">
        <f t="shared" si="58"/>
        <v>IoU 50</v>
      </c>
      <c r="AG189">
        <v>0.42178262545193645</v>
      </c>
      <c r="AH189">
        <v>0.34657275631716528</v>
      </c>
      <c r="AI189">
        <v>0.22344827586206897</v>
      </c>
      <c r="AK189" s="11" t="str">
        <f t="shared" si="52"/>
        <v>IoU 50</v>
      </c>
      <c r="AL189" s="11" t="str">
        <f t="shared" si="59"/>
        <v>IoU 50</v>
      </c>
      <c r="AM189" s="11" t="str">
        <f t="shared" si="60"/>
        <v>IoU 25</v>
      </c>
    </row>
    <row r="190" spans="1:39" ht="15" x14ac:dyDescent="0.25">
      <c r="A190" s="11">
        <v>0.83715325241826699</v>
      </c>
      <c r="B190" s="11">
        <v>0.70013393130437351</v>
      </c>
      <c r="C190" s="11">
        <v>0.56197922794246247</v>
      </c>
      <c r="E190" s="11" t="str">
        <f t="shared" si="49"/>
        <v>IoU 100</v>
      </c>
      <c r="F190" s="11" t="str">
        <f t="shared" si="50"/>
        <v>IoU 75</v>
      </c>
      <c r="G190" s="11" t="str">
        <f t="shared" si="51"/>
        <v>IoU 75</v>
      </c>
      <c r="I190" s="11">
        <v>0.5262267797622594</v>
      </c>
      <c r="J190" s="11">
        <v>0.35898145743346299</v>
      </c>
      <c r="K190" s="11">
        <v>0.43974136002941994</v>
      </c>
      <c r="M190" s="11" t="str">
        <f t="shared" si="66"/>
        <v>IoU 75</v>
      </c>
      <c r="N190" s="11" t="str">
        <f t="shared" si="53"/>
        <v>IoU 50</v>
      </c>
      <c r="O190" s="11" t="str">
        <f t="shared" si="54"/>
        <v>IoU 50</v>
      </c>
      <c r="Q190" s="11">
        <v>0.88236250560459306</v>
      </c>
      <c r="R190" s="11">
        <v>0.73676643288199073</v>
      </c>
      <c r="S190" s="11">
        <v>0.75272381926012089</v>
      </c>
      <c r="U190" s="11" t="str">
        <f t="shared" si="68"/>
        <v>IoU 100</v>
      </c>
      <c r="V190" s="11" t="str">
        <f t="shared" si="55"/>
        <v>IoU 75</v>
      </c>
      <c r="W190" s="11" t="str">
        <f t="shared" si="56"/>
        <v>IoU 100</v>
      </c>
      <c r="Y190">
        <v>0.59120134124762669</v>
      </c>
      <c r="Z190">
        <v>0.51618950113435236</v>
      </c>
      <c r="AA190">
        <v>0.36526643478324267</v>
      </c>
      <c r="AC190" s="11" t="str">
        <f t="shared" si="69"/>
        <v>IoU 75</v>
      </c>
      <c r="AD190" s="11" t="str">
        <f t="shared" si="57"/>
        <v>IoU 75</v>
      </c>
      <c r="AE190" s="11" t="str">
        <f t="shared" si="58"/>
        <v>IoU 50</v>
      </c>
      <c r="AG190">
        <v>0.84855057414679225</v>
      </c>
      <c r="AH190">
        <v>0.40260736196319019</v>
      </c>
      <c r="AI190">
        <v>0.26941143962420561</v>
      </c>
      <c r="AK190" s="11" t="str">
        <f t="shared" si="52"/>
        <v>IoU 100</v>
      </c>
      <c r="AL190" s="11" t="str">
        <f t="shared" si="59"/>
        <v>IoU 50</v>
      </c>
      <c r="AM190" s="11" t="str">
        <f t="shared" si="60"/>
        <v>IoU 50</v>
      </c>
    </row>
    <row r="191" spans="1:39" ht="15" x14ac:dyDescent="0.25">
      <c r="A191" s="11">
        <v>0.89094114710675365</v>
      </c>
      <c r="B191" s="11">
        <v>0.69781605396405011</v>
      </c>
      <c r="C191" s="11">
        <v>0.46377366811989984</v>
      </c>
      <c r="E191" s="11" t="str">
        <f t="shared" si="49"/>
        <v>IoU 100</v>
      </c>
      <c r="F191" s="11" t="str">
        <f t="shared" si="50"/>
        <v>IoU 75</v>
      </c>
      <c r="G191" s="11" t="str">
        <f t="shared" si="51"/>
        <v>IoU 50</v>
      </c>
      <c r="I191" s="11">
        <v>0.80714278911914561</v>
      </c>
      <c r="J191" s="11">
        <v>0.61569243590300804</v>
      </c>
      <c r="K191" s="11">
        <v>0.42508311180633029</v>
      </c>
      <c r="M191" s="11" t="str">
        <f t="shared" si="66"/>
        <v>IoU 100</v>
      </c>
      <c r="N191" s="11" t="str">
        <f t="shared" si="53"/>
        <v>IoU 75</v>
      </c>
      <c r="O191" s="11" t="str">
        <f t="shared" si="54"/>
        <v>IoU 50</v>
      </c>
      <c r="Q191" s="11">
        <v>0.82578689078408274</v>
      </c>
      <c r="R191" s="11">
        <v>0.67351002102886171</v>
      </c>
      <c r="S191" s="11">
        <v>0.63963296148164772</v>
      </c>
      <c r="U191" s="11" t="str">
        <f t="shared" si="68"/>
        <v>IoU 100</v>
      </c>
      <c r="V191" s="11" t="str">
        <f t="shared" si="55"/>
        <v>IoU 75</v>
      </c>
      <c r="W191" s="11" t="str">
        <f t="shared" si="56"/>
        <v>IoU 75</v>
      </c>
      <c r="Y191">
        <v>0.90789519816762709</v>
      </c>
      <c r="Z191">
        <v>0.65861069908195446</v>
      </c>
      <c r="AA191">
        <v>0.69788353048822582</v>
      </c>
      <c r="AC191" s="11" t="str">
        <f t="shared" si="69"/>
        <v>IoU 100</v>
      </c>
      <c r="AD191" s="11" t="str">
        <f t="shared" si="57"/>
        <v>IoU 75</v>
      </c>
      <c r="AE191" s="11" t="str">
        <f t="shared" si="58"/>
        <v>IoU 75</v>
      </c>
      <c r="AG191">
        <v>0.8012023252324868</v>
      </c>
      <c r="AH191">
        <v>0.63666222216025647</v>
      </c>
      <c r="AI191">
        <v>0.40914208679773023</v>
      </c>
      <c r="AK191" s="11" t="str">
        <f t="shared" si="52"/>
        <v>IoU 100</v>
      </c>
      <c r="AL191" s="11" t="str">
        <f t="shared" si="59"/>
        <v>IoU 75</v>
      </c>
      <c r="AM191" s="11" t="str">
        <f t="shared" si="60"/>
        <v>IoU 50</v>
      </c>
    </row>
    <row r="192" spans="1:39" ht="15" x14ac:dyDescent="0.25">
      <c r="A192" s="11">
        <v>0.44488054819716211</v>
      </c>
      <c r="B192" s="11">
        <v>0.49494258742447417</v>
      </c>
      <c r="C192" s="11">
        <v>0.54255914178282272</v>
      </c>
      <c r="E192" s="11" t="str">
        <f t="shared" si="49"/>
        <v>IoU 50</v>
      </c>
      <c r="F192" s="11" t="str">
        <f t="shared" si="50"/>
        <v>IoU 50</v>
      </c>
      <c r="G192" s="11" t="str">
        <f t="shared" si="51"/>
        <v>IoU 75</v>
      </c>
      <c r="I192" s="11">
        <v>0.8257335351509133</v>
      </c>
      <c r="J192" s="11">
        <v>0.68304743381888389</v>
      </c>
      <c r="K192" s="11">
        <v>0.61983061770546866</v>
      </c>
      <c r="M192" s="11" t="str">
        <f t="shared" si="66"/>
        <v>IoU 100</v>
      </c>
      <c r="N192" s="11" t="str">
        <f t="shared" si="53"/>
        <v>IoU 75</v>
      </c>
      <c r="O192" s="11" t="str">
        <f t="shared" si="54"/>
        <v>IoU 75</v>
      </c>
      <c r="Q192" s="11">
        <v>0.80289880663723201</v>
      </c>
      <c r="R192" s="11">
        <v>0.7464343365162156</v>
      </c>
      <c r="S192" s="11">
        <v>0.73028869637358984</v>
      </c>
      <c r="U192" s="11" t="str">
        <f t="shared" si="68"/>
        <v>IoU 100</v>
      </c>
      <c r="V192" s="11" t="str">
        <f t="shared" si="55"/>
        <v>IoU 75</v>
      </c>
      <c r="W192" s="11" t="str">
        <f t="shared" si="56"/>
        <v>IoU 75</v>
      </c>
      <c r="Y192">
        <v>0.868837986202462</v>
      </c>
      <c r="Z192">
        <v>0.71843037699787193</v>
      </c>
      <c r="AA192">
        <v>0.60882975719165855</v>
      </c>
      <c r="AC192" s="11" t="str">
        <f t="shared" si="69"/>
        <v>IoU 100</v>
      </c>
      <c r="AD192" s="11" t="str">
        <f t="shared" si="57"/>
        <v>IoU 75</v>
      </c>
      <c r="AE192" s="11" t="str">
        <f t="shared" si="58"/>
        <v>IoU 75</v>
      </c>
      <c r="AG192">
        <v>0.82811266448860898</v>
      </c>
      <c r="AH192">
        <v>0.6754442040861246</v>
      </c>
      <c r="AI192">
        <v>0.58922968804171205</v>
      </c>
      <c r="AK192" s="11" t="str">
        <f t="shared" si="52"/>
        <v>IoU 100</v>
      </c>
      <c r="AL192" s="11" t="str">
        <f t="shared" si="59"/>
        <v>IoU 75</v>
      </c>
      <c r="AM192" s="11" t="str">
        <f t="shared" si="60"/>
        <v>IoU 75</v>
      </c>
    </row>
    <row r="193" spans="1:39" ht="15" x14ac:dyDescent="0.25">
      <c r="A193" s="11">
        <v>0.82837645714286512</v>
      </c>
      <c r="B193" s="11">
        <v>0.7760127658537983</v>
      </c>
      <c r="C193" s="11">
        <v>0.61173232750531792</v>
      </c>
      <c r="E193" s="11" t="str">
        <f t="shared" si="49"/>
        <v>IoU 100</v>
      </c>
      <c r="F193" s="11" t="str">
        <f t="shared" si="50"/>
        <v>IoU 100</v>
      </c>
      <c r="G193" s="11" t="str">
        <f t="shared" si="51"/>
        <v>IoU 75</v>
      </c>
      <c r="I193" s="11">
        <v>0.79344745299160868</v>
      </c>
      <c r="J193" s="11">
        <v>0.35027303125534437</v>
      </c>
      <c r="K193" s="11">
        <v>0.26504396596646124</v>
      </c>
      <c r="M193" s="11" t="str">
        <f t="shared" si="66"/>
        <v>IoU 100</v>
      </c>
      <c r="N193" s="11" t="str">
        <f t="shared" si="53"/>
        <v>IoU 50</v>
      </c>
      <c r="O193" s="11" t="str">
        <f t="shared" si="54"/>
        <v>IoU 50</v>
      </c>
      <c r="Q193" s="11">
        <v>0.88164877226240257</v>
      </c>
      <c r="R193" s="11">
        <v>0.799238653928809</v>
      </c>
      <c r="S193" s="11">
        <v>0.69249730773134277</v>
      </c>
      <c r="U193" s="11" t="str">
        <f t="shared" si="68"/>
        <v>IoU 100</v>
      </c>
      <c r="V193" s="11" t="str">
        <f t="shared" si="55"/>
        <v>IoU 100</v>
      </c>
      <c r="W193" s="11" t="str">
        <f t="shared" si="56"/>
        <v>IoU 75</v>
      </c>
      <c r="Y193">
        <v>0.42441442736025292</v>
      </c>
      <c r="Z193">
        <v>0.53378366777260211</v>
      </c>
      <c r="AA193">
        <v>0.25903614457831325</v>
      </c>
      <c r="AC193" s="11" t="str">
        <f t="shared" si="69"/>
        <v>IoU 50</v>
      </c>
      <c r="AD193" s="11" t="str">
        <f t="shared" si="57"/>
        <v>IoU 75</v>
      </c>
      <c r="AE193" s="11" t="str">
        <f t="shared" si="58"/>
        <v>IoU 50</v>
      </c>
      <c r="AG193">
        <v>0.8876766816285534</v>
      </c>
      <c r="AH193">
        <v>0.6874440853018875</v>
      </c>
      <c r="AI193">
        <v>0.51128170220007552</v>
      </c>
      <c r="AK193" s="11" t="str">
        <f t="shared" si="52"/>
        <v>IoU 100</v>
      </c>
      <c r="AL193" s="11" t="str">
        <f t="shared" si="59"/>
        <v>IoU 75</v>
      </c>
      <c r="AM193" s="11" t="str">
        <f t="shared" si="60"/>
        <v>IoU 75</v>
      </c>
    </row>
    <row r="194" spans="1:39" ht="15" x14ac:dyDescent="0.25">
      <c r="A194" s="11">
        <v>0.83529763393845147</v>
      </c>
      <c r="B194" s="11">
        <v>0.76205186355609256</v>
      </c>
      <c r="C194" s="11">
        <v>0.72751980189061083</v>
      </c>
      <c r="E194" s="11" t="str">
        <f t="shared" si="49"/>
        <v>IoU 100</v>
      </c>
      <c r="F194" s="11" t="str">
        <f t="shared" si="50"/>
        <v>IoU 100</v>
      </c>
      <c r="G194" s="11" t="str">
        <f t="shared" si="51"/>
        <v>IoU 75</v>
      </c>
      <c r="I194" s="11">
        <v>0.4040690454084076</v>
      </c>
      <c r="J194" s="11">
        <v>0.37960546574781223</v>
      </c>
      <c r="K194" s="11">
        <v>0.43674166044369783</v>
      </c>
      <c r="M194" s="11" t="str">
        <f t="shared" si="66"/>
        <v>IoU 50</v>
      </c>
      <c r="N194" s="11" t="str">
        <f t="shared" si="53"/>
        <v>IoU 50</v>
      </c>
      <c r="O194" s="11" t="str">
        <f t="shared" si="54"/>
        <v>IoU 50</v>
      </c>
      <c r="Q194" s="11">
        <v>0.81856312502130812</v>
      </c>
      <c r="R194" s="11">
        <v>0.74664268338265316</v>
      </c>
      <c r="S194" s="11">
        <v>0.53189946194468285</v>
      </c>
      <c r="U194" s="11" t="str">
        <f t="shared" si="68"/>
        <v>IoU 100</v>
      </c>
      <c r="V194" s="11" t="str">
        <f t="shared" si="55"/>
        <v>IoU 75</v>
      </c>
      <c r="W194" s="11" t="str">
        <f t="shared" si="56"/>
        <v>IoU 75</v>
      </c>
      <c r="Y194">
        <v>0.15665554924963432</v>
      </c>
      <c r="Z194">
        <v>9.794257802444797E-3</v>
      </c>
      <c r="AA194">
        <v>0</v>
      </c>
      <c r="AC194" s="11" t="str">
        <f t="shared" si="69"/>
        <v>IoU 25</v>
      </c>
      <c r="AD194" s="11" t="str">
        <f t="shared" si="57"/>
        <v>IoU 25</v>
      </c>
      <c r="AE194" s="11" t="str">
        <f t="shared" si="58"/>
        <v>IoU 25</v>
      </c>
      <c r="AG194">
        <v>0.89848750133075517</v>
      </c>
      <c r="AH194">
        <v>0.59986792652808441</v>
      </c>
      <c r="AI194">
        <v>0.59411430585055114</v>
      </c>
      <c r="AK194" s="11" t="str">
        <f t="shared" si="52"/>
        <v>IoU 100</v>
      </c>
      <c r="AL194" s="11" t="str">
        <f t="shared" si="59"/>
        <v>IoU 75</v>
      </c>
      <c r="AM194" s="11" t="str">
        <f t="shared" si="60"/>
        <v>IoU 75</v>
      </c>
    </row>
    <row r="195" spans="1:39" ht="15" x14ac:dyDescent="0.25">
      <c r="A195" s="11">
        <v>0.47512640130578532</v>
      </c>
      <c r="B195" s="11">
        <v>0.32892319000367509</v>
      </c>
      <c r="C195" s="11">
        <v>0.45616931668362704</v>
      </c>
      <c r="E195" s="11" t="str">
        <f t="shared" si="49"/>
        <v>IoU 50</v>
      </c>
      <c r="F195" s="11" t="str">
        <f t="shared" si="50"/>
        <v>IoU 50</v>
      </c>
      <c r="G195" s="11" t="str">
        <f t="shared" si="51"/>
        <v>IoU 50</v>
      </c>
      <c r="I195" s="11">
        <v>0.8078527959215196</v>
      </c>
      <c r="J195" s="11">
        <v>0.64011515592454582</v>
      </c>
      <c r="K195" s="11">
        <v>0.73215126384871021</v>
      </c>
      <c r="M195" s="11" t="str">
        <f t="shared" si="66"/>
        <v>IoU 100</v>
      </c>
      <c r="N195" s="11" t="str">
        <f t="shared" si="53"/>
        <v>IoU 75</v>
      </c>
      <c r="O195" s="11" t="str">
        <f t="shared" si="54"/>
        <v>IoU 75</v>
      </c>
      <c r="Q195" s="11">
        <v>0.84558946063516871</v>
      </c>
      <c r="R195" s="11">
        <v>0.63984210271112496</v>
      </c>
      <c r="S195" s="11">
        <v>0.61578473641702303</v>
      </c>
      <c r="U195" s="11" t="str">
        <f t="shared" si="68"/>
        <v>IoU 100</v>
      </c>
      <c r="V195" s="11" t="str">
        <f t="shared" si="55"/>
        <v>IoU 75</v>
      </c>
      <c r="W195" s="11" t="str">
        <f t="shared" si="56"/>
        <v>IoU 75</v>
      </c>
      <c r="Y195">
        <v>0.88593039673982488</v>
      </c>
      <c r="Z195">
        <v>0.67785469969500778</v>
      </c>
      <c r="AA195">
        <v>0.64872971290418269</v>
      </c>
      <c r="AC195" s="11" t="str">
        <f t="shared" si="69"/>
        <v>IoU 100</v>
      </c>
      <c r="AD195" s="11" t="str">
        <f t="shared" si="57"/>
        <v>IoU 75</v>
      </c>
      <c r="AE195" s="11" t="str">
        <f t="shared" si="58"/>
        <v>IoU 75</v>
      </c>
      <c r="AG195">
        <v>0.8633510186026423</v>
      </c>
      <c r="AH195">
        <v>0.62080459770114937</v>
      </c>
      <c r="AI195">
        <v>0.42632122751664331</v>
      </c>
      <c r="AK195" s="11" t="str">
        <f t="shared" si="52"/>
        <v>IoU 100</v>
      </c>
      <c r="AL195" s="11" t="str">
        <f t="shared" si="59"/>
        <v>IoU 75</v>
      </c>
      <c r="AM195" s="11" t="str">
        <f t="shared" si="60"/>
        <v>IoU 50</v>
      </c>
    </row>
    <row r="196" spans="1:39" ht="15" x14ac:dyDescent="0.25">
      <c r="A196" s="11">
        <v>0.82989699863423527</v>
      </c>
      <c r="B196" s="11">
        <v>0.56048594370351101</v>
      </c>
      <c r="C196" s="11">
        <v>0.8299668121822773</v>
      </c>
      <c r="E196" s="11" t="str">
        <f t="shared" si="49"/>
        <v>IoU 100</v>
      </c>
      <c r="F196" s="11" t="str">
        <f t="shared" si="50"/>
        <v>IoU 75</v>
      </c>
      <c r="G196" s="11" t="str">
        <f t="shared" si="51"/>
        <v>IoU 100</v>
      </c>
      <c r="I196" s="11">
        <v>0.78491485359851465</v>
      </c>
      <c r="J196" s="11">
        <v>0.8787206127459819</v>
      </c>
      <c r="K196" s="11">
        <v>0.75390322791962228</v>
      </c>
      <c r="M196" s="11" t="str">
        <f t="shared" si="66"/>
        <v>IoU 100</v>
      </c>
      <c r="N196" s="11" t="str">
        <f t="shared" si="53"/>
        <v>IoU 100</v>
      </c>
      <c r="O196" s="11" t="str">
        <f t="shared" si="54"/>
        <v>IoU 100</v>
      </c>
      <c r="Q196" s="11">
        <v>0.86846947138960073</v>
      </c>
      <c r="R196" s="11">
        <v>0.75768556840308277</v>
      </c>
      <c r="S196" s="11">
        <v>0.57123115676264058</v>
      </c>
      <c r="U196" s="11" t="str">
        <f t="shared" si="68"/>
        <v>IoU 100</v>
      </c>
      <c r="V196" s="11" t="str">
        <f t="shared" si="55"/>
        <v>IoU 100</v>
      </c>
      <c r="W196" s="11" t="str">
        <f t="shared" si="56"/>
        <v>IoU 75</v>
      </c>
      <c r="Y196">
        <v>0.54602386664708902</v>
      </c>
      <c r="Z196">
        <v>0.56571822046980391</v>
      </c>
      <c r="AA196">
        <v>0.38120300751879699</v>
      </c>
      <c r="AC196" s="11" t="str">
        <f t="shared" si="69"/>
        <v>IoU 75</v>
      </c>
      <c r="AD196" s="11" t="str">
        <f t="shared" si="57"/>
        <v>IoU 75</v>
      </c>
      <c r="AE196" s="11" t="str">
        <f t="shared" si="58"/>
        <v>IoU 50</v>
      </c>
      <c r="AG196">
        <v>0.82609006931670881</v>
      </c>
      <c r="AH196">
        <v>0.71307381797501146</v>
      </c>
      <c r="AI196">
        <v>0.3612028595746884</v>
      </c>
      <c r="AK196" s="11" t="str">
        <f t="shared" si="52"/>
        <v>IoU 100</v>
      </c>
      <c r="AL196" s="11" t="str">
        <f t="shared" si="59"/>
        <v>IoU 75</v>
      </c>
      <c r="AM196" s="11" t="str">
        <f t="shared" si="60"/>
        <v>IoU 50</v>
      </c>
    </row>
    <row r="197" spans="1:39" ht="15" x14ac:dyDescent="0.25">
      <c r="A197" s="11">
        <v>0.84443415143369549</v>
      </c>
      <c r="B197" s="11">
        <v>0.72198465256434341</v>
      </c>
      <c r="C197" s="11">
        <v>0.56355674025962854</v>
      </c>
      <c r="E197" s="11" t="str">
        <f t="shared" ref="E197:E213" si="70">VLOOKUP(A197,IoU_Thresholds,2,TRUE)</f>
        <v>IoU 100</v>
      </c>
      <c r="F197" s="11" t="str">
        <f t="shared" ref="F197:F213" si="71">VLOOKUP(B197,IoU_Thresholds,2,TRUE)</f>
        <v>IoU 75</v>
      </c>
      <c r="G197" s="11" t="str">
        <f t="shared" ref="G197:G213" si="72">VLOOKUP(C197,IoU_Thresholds,2,TRUE)</f>
        <v>IoU 75</v>
      </c>
      <c r="I197" s="11">
        <v>0.7339783100779953</v>
      </c>
      <c r="J197" s="11">
        <v>0.76428260949731841</v>
      </c>
      <c r="K197" s="11">
        <v>0.30286831137034126</v>
      </c>
      <c r="M197" s="11" t="str">
        <f t="shared" si="66"/>
        <v>IoU 75</v>
      </c>
      <c r="N197" s="11" t="str">
        <f t="shared" si="53"/>
        <v>IoU 100</v>
      </c>
      <c r="O197" s="11" t="str">
        <f t="shared" si="54"/>
        <v>IoU 50</v>
      </c>
      <c r="Q197" s="11">
        <v>0.6892174599337032</v>
      </c>
      <c r="R197" s="11">
        <v>0.29242410719057182</v>
      </c>
      <c r="S197" s="11">
        <v>0.33406696713919165</v>
      </c>
      <c r="U197" s="11" t="str">
        <f t="shared" si="68"/>
        <v>IoU 75</v>
      </c>
      <c r="V197" s="11" t="str">
        <f t="shared" si="55"/>
        <v>IoU 50</v>
      </c>
      <c r="W197" s="11" t="str">
        <f t="shared" si="56"/>
        <v>IoU 50</v>
      </c>
      <c r="Y197">
        <v>0.87101312265567465</v>
      </c>
      <c r="Z197">
        <v>0.66519034909975883</v>
      </c>
      <c r="AA197">
        <v>0.56138466654819918</v>
      </c>
      <c r="AC197" s="11" t="str">
        <f t="shared" si="69"/>
        <v>IoU 100</v>
      </c>
      <c r="AD197" s="11" t="str">
        <f t="shared" si="57"/>
        <v>IoU 75</v>
      </c>
      <c r="AE197" s="11" t="str">
        <f t="shared" si="58"/>
        <v>IoU 75</v>
      </c>
      <c r="AG197">
        <v>0.4463262887616038</v>
      </c>
      <c r="AH197">
        <v>0.32892527155415013</v>
      </c>
      <c r="AI197">
        <v>0.15991074748977316</v>
      </c>
      <c r="AK197" s="11" t="str">
        <f t="shared" ref="AK197:AK213" si="73">VLOOKUP(AG197,IoU_Thresholds,2,TRUE)</f>
        <v>IoU 50</v>
      </c>
      <c r="AL197" s="11" t="str">
        <f t="shared" si="59"/>
        <v>IoU 50</v>
      </c>
      <c r="AM197" s="11" t="str">
        <f t="shared" si="60"/>
        <v>IoU 25</v>
      </c>
    </row>
    <row r="198" spans="1:39" ht="15" x14ac:dyDescent="0.25">
      <c r="A198" s="11">
        <v>0.75143658995078588</v>
      </c>
      <c r="B198" s="11">
        <v>0.32219138409557135</v>
      </c>
      <c r="C198" s="11">
        <v>0.54995767200291534</v>
      </c>
      <c r="E198" s="11" t="str">
        <f t="shared" si="70"/>
        <v>IoU 100</v>
      </c>
      <c r="F198" s="11" t="str">
        <f t="shared" si="71"/>
        <v>IoU 50</v>
      </c>
      <c r="G198" s="11" t="str">
        <f t="shared" si="72"/>
        <v>IoU 75</v>
      </c>
      <c r="I198" s="11">
        <v>0.81582869454735785</v>
      </c>
      <c r="J198" s="11">
        <v>0.73139093909341102</v>
      </c>
      <c r="K198" s="11">
        <v>0.76276652015011526</v>
      </c>
      <c r="M198" s="11" t="str">
        <f t="shared" si="66"/>
        <v>IoU 100</v>
      </c>
      <c r="N198" s="11" t="str">
        <f t="shared" ref="N198:N213" si="74">VLOOKUP(J198,IoU_Thresholds,2,TRUE)</f>
        <v>IoU 75</v>
      </c>
      <c r="O198" s="11" t="str">
        <f t="shared" ref="O198:O213" si="75">VLOOKUP(K198,IoU_Thresholds,2,TRUE)</f>
        <v>IoU 100</v>
      </c>
      <c r="Q198" s="11">
        <v>0.86568899477318784</v>
      </c>
      <c r="R198" s="11">
        <v>0.70890204785652089</v>
      </c>
      <c r="S198" s="11">
        <v>0.65141676704204321</v>
      </c>
      <c r="U198" s="11" t="str">
        <f t="shared" si="68"/>
        <v>IoU 100</v>
      </c>
      <c r="V198" s="11" t="str">
        <f t="shared" ref="V198:V213" si="76">VLOOKUP(R198,IoU_Thresholds,2,TRUE)</f>
        <v>IoU 75</v>
      </c>
      <c r="W198" s="11" t="str">
        <f t="shared" ref="W198:W213" si="77">VLOOKUP(S198,IoU_Thresholds,2,TRUE)</f>
        <v>IoU 75</v>
      </c>
      <c r="Y198">
        <v>0.50440896965240534</v>
      </c>
      <c r="Z198">
        <v>0.52968934714097649</v>
      </c>
      <c r="AA198">
        <v>0.60519112789051444</v>
      </c>
      <c r="AC198" s="11" t="str">
        <f t="shared" si="69"/>
        <v>IoU 75</v>
      </c>
      <c r="AD198" s="11" t="str">
        <f t="shared" ref="AD198:AD214" si="78">VLOOKUP(Z198,IoU_Thresholds,2,TRUE)</f>
        <v>IoU 75</v>
      </c>
      <c r="AE198" s="11" t="str">
        <f t="shared" ref="AE198:AE214" si="79">VLOOKUP(AA198,IoU_Thresholds,2,TRUE)</f>
        <v>IoU 75</v>
      </c>
      <c r="AG198">
        <v>0.85481355396648695</v>
      </c>
      <c r="AH198">
        <v>0.49612590839955684</v>
      </c>
      <c r="AI198">
        <v>0.54338204743715102</v>
      </c>
      <c r="AK198" s="11" t="str">
        <f t="shared" si="73"/>
        <v>IoU 100</v>
      </c>
      <c r="AL198" s="11" t="str">
        <f t="shared" ref="AL198:AL213" si="80">VLOOKUP(AH198,IoU_Thresholds,2,TRUE)</f>
        <v>IoU 50</v>
      </c>
      <c r="AM198" s="11" t="str">
        <f t="shared" ref="AM198:AM213" si="81">VLOOKUP(AI198,IoU_Thresholds,2,TRUE)</f>
        <v>IoU 75</v>
      </c>
    </row>
    <row r="199" spans="1:39" ht="15" x14ac:dyDescent="0.25">
      <c r="A199" s="11">
        <v>0.87345438124468133</v>
      </c>
      <c r="B199" s="11">
        <v>0.78094737968778216</v>
      </c>
      <c r="C199" s="11">
        <v>0.74214557560553296</v>
      </c>
      <c r="E199" s="11" t="str">
        <f t="shared" si="70"/>
        <v>IoU 100</v>
      </c>
      <c r="F199" s="11" t="str">
        <f t="shared" si="71"/>
        <v>IoU 100</v>
      </c>
      <c r="G199" s="11" t="str">
        <f t="shared" si="72"/>
        <v>IoU 75</v>
      </c>
      <c r="I199" s="11">
        <v>0.66878523464368111</v>
      </c>
      <c r="J199" s="11">
        <v>0.29381177481736143</v>
      </c>
      <c r="K199" s="11">
        <v>0.33356012318269712</v>
      </c>
      <c r="M199" s="11" t="str">
        <f t="shared" si="66"/>
        <v>IoU 75</v>
      </c>
      <c r="N199" s="11" t="str">
        <f t="shared" si="74"/>
        <v>IoU 50</v>
      </c>
      <c r="O199" s="11" t="str">
        <f t="shared" si="75"/>
        <v>IoU 50</v>
      </c>
      <c r="Q199" s="11">
        <v>0.80184347786268573</v>
      </c>
      <c r="R199" s="11">
        <v>0.69598429547988805</v>
      </c>
      <c r="S199" s="11">
        <v>0.5764444839243239</v>
      </c>
      <c r="U199" s="11" t="str">
        <f t="shared" si="68"/>
        <v>IoU 100</v>
      </c>
      <c r="V199" s="11" t="str">
        <f t="shared" si="76"/>
        <v>IoU 75</v>
      </c>
      <c r="W199" s="11" t="str">
        <f t="shared" si="77"/>
        <v>IoU 75</v>
      </c>
      <c r="Y199">
        <v>0.56603217139618112</v>
      </c>
      <c r="Z199">
        <v>0.58682637772383717</v>
      </c>
      <c r="AA199">
        <v>0.28380551200234311</v>
      </c>
      <c r="AC199" s="11" t="str">
        <f t="shared" si="69"/>
        <v>IoU 75</v>
      </c>
      <c r="AD199" s="11" t="str">
        <f t="shared" si="78"/>
        <v>IoU 75</v>
      </c>
      <c r="AE199" s="11" t="str">
        <f t="shared" si="79"/>
        <v>IoU 50</v>
      </c>
      <c r="AG199">
        <v>0.83753085448796538</v>
      </c>
      <c r="AH199">
        <v>0.82456646513650766</v>
      </c>
      <c r="AI199">
        <v>0.57033112933319807</v>
      </c>
      <c r="AK199" s="11" t="str">
        <f t="shared" si="73"/>
        <v>IoU 100</v>
      </c>
      <c r="AL199" s="11" t="str">
        <f t="shared" si="80"/>
        <v>IoU 100</v>
      </c>
      <c r="AM199" s="11" t="str">
        <f t="shared" si="81"/>
        <v>IoU 75</v>
      </c>
    </row>
    <row r="200" spans="1:39" ht="15" x14ac:dyDescent="0.25">
      <c r="A200" s="11">
        <v>0.83914836630704925</v>
      </c>
      <c r="B200" s="11">
        <v>0.37980241492864986</v>
      </c>
      <c r="C200" s="11">
        <v>0.36517766497461929</v>
      </c>
      <c r="E200" s="11" t="str">
        <f t="shared" si="70"/>
        <v>IoU 100</v>
      </c>
      <c r="F200" s="11" t="str">
        <f t="shared" si="71"/>
        <v>IoU 50</v>
      </c>
      <c r="G200" s="11" t="str">
        <f t="shared" si="72"/>
        <v>IoU 50</v>
      </c>
      <c r="I200" s="11">
        <v>0.56091694444671114</v>
      </c>
      <c r="J200" s="11">
        <v>0.37722757708408888</v>
      </c>
      <c r="K200" s="11">
        <v>0.49931715357265982</v>
      </c>
      <c r="M200" s="11" t="str">
        <f t="shared" si="66"/>
        <v>IoU 75</v>
      </c>
      <c r="N200" s="11" t="str">
        <f t="shared" si="74"/>
        <v>IoU 50</v>
      </c>
      <c r="O200" s="11" t="str">
        <f t="shared" si="75"/>
        <v>IoU 50</v>
      </c>
      <c r="Q200" s="11">
        <v>0.8115684309528528</v>
      </c>
      <c r="R200" s="11">
        <v>0.58358673348004519</v>
      </c>
      <c r="S200" s="11">
        <v>0.43341437250177639</v>
      </c>
      <c r="U200" s="11" t="str">
        <f t="shared" si="68"/>
        <v>IoU 100</v>
      </c>
      <c r="V200" s="11" t="str">
        <f t="shared" si="76"/>
        <v>IoU 75</v>
      </c>
      <c r="W200" s="11" t="str">
        <f t="shared" si="77"/>
        <v>IoU 50</v>
      </c>
      <c r="Y200">
        <v>0.39411507925681388</v>
      </c>
      <c r="Z200">
        <v>0.40448658649398705</v>
      </c>
      <c r="AA200">
        <v>0.27480916030534353</v>
      </c>
      <c r="AC200" s="11" t="str">
        <f t="shared" si="69"/>
        <v>IoU 50</v>
      </c>
      <c r="AD200" s="11" t="str">
        <f t="shared" si="78"/>
        <v>IoU 50</v>
      </c>
      <c r="AE200" s="11" t="str">
        <f t="shared" si="79"/>
        <v>IoU 50</v>
      </c>
      <c r="AG200">
        <v>0.85062436240555139</v>
      </c>
      <c r="AH200">
        <v>0.71564277432238854</v>
      </c>
      <c r="AI200">
        <v>0.39207704918720154</v>
      </c>
      <c r="AK200" s="11" t="str">
        <f t="shared" si="73"/>
        <v>IoU 100</v>
      </c>
      <c r="AL200" s="11" t="str">
        <f t="shared" si="80"/>
        <v>IoU 75</v>
      </c>
      <c r="AM200" s="11" t="str">
        <f t="shared" si="81"/>
        <v>IoU 50</v>
      </c>
    </row>
    <row r="201" spans="1:39" ht="15" x14ac:dyDescent="0.25">
      <c r="Y201">
        <v>0.74188267850844758</v>
      </c>
      <c r="Z201">
        <v>0.41371158392434987</v>
      </c>
      <c r="AA201">
        <v>0.42405063291139239</v>
      </c>
      <c r="AC201" s="11" t="str">
        <f t="shared" si="69"/>
        <v>IoU 75</v>
      </c>
      <c r="AD201" s="11" t="str">
        <f t="shared" si="78"/>
        <v>IoU 50</v>
      </c>
      <c r="AE201" s="11" t="str">
        <f t="shared" si="79"/>
        <v>IoU 50</v>
      </c>
      <c r="AG201">
        <v>0.4252543997079537</v>
      </c>
      <c r="AH201">
        <v>0.37719298245614036</v>
      </c>
      <c r="AI201">
        <v>0.30307317468214845</v>
      </c>
      <c r="AK201" s="11" t="str">
        <f t="shared" si="73"/>
        <v>IoU 50</v>
      </c>
      <c r="AL201" s="11" t="str">
        <f t="shared" si="80"/>
        <v>IoU 50</v>
      </c>
      <c r="AM201" s="11" t="str">
        <f t="shared" si="81"/>
        <v>IoU 50</v>
      </c>
    </row>
    <row r="202" spans="1:39" ht="15" x14ac:dyDescent="0.25">
      <c r="A202" s="11">
        <v>0.7879566783228521</v>
      </c>
      <c r="B202" s="11">
        <v>0.65143264773467524</v>
      </c>
      <c r="C202" s="11">
        <v>0.68342782155234971</v>
      </c>
      <c r="E202" s="11" t="str">
        <f t="shared" si="70"/>
        <v>IoU 100</v>
      </c>
      <c r="F202" s="11" t="str">
        <f t="shared" si="71"/>
        <v>IoU 75</v>
      </c>
      <c r="G202" s="11" t="str">
        <f t="shared" si="72"/>
        <v>IoU 75</v>
      </c>
      <c r="I202" s="11">
        <v>0.479752474070891</v>
      </c>
      <c r="J202" s="11">
        <v>0.4625797293003403</v>
      </c>
      <c r="K202" s="11">
        <v>0.28943241511202938</v>
      </c>
      <c r="M202" s="11" t="str">
        <f t="shared" ref="M202:M213" si="82">VLOOKUP(I202,IoU_Thresholds,2,TRUE)</f>
        <v>IoU 50</v>
      </c>
      <c r="N202" s="11" t="str">
        <f t="shared" si="74"/>
        <v>IoU 50</v>
      </c>
      <c r="O202" s="11" t="str">
        <f t="shared" si="75"/>
        <v>IoU 50</v>
      </c>
      <c r="Q202" s="11">
        <v>0.39628236944629758</v>
      </c>
      <c r="R202" s="11">
        <v>0.20128107478314056</v>
      </c>
      <c r="S202" s="11">
        <v>0.31790953579454895</v>
      </c>
      <c r="U202" s="11" t="str">
        <f t="shared" ref="U202:U213" si="83">VLOOKUP(Q202,IoU_Thresholds,2,TRUE)</f>
        <v>IoU 50</v>
      </c>
      <c r="V202" s="11" t="str">
        <f t="shared" si="76"/>
        <v>IoU 25</v>
      </c>
      <c r="W202" s="11" t="str">
        <f t="shared" si="77"/>
        <v>IoU 50</v>
      </c>
      <c r="Y202"/>
      <c r="Z202"/>
      <c r="AA202"/>
      <c r="AG202">
        <v>0.86583882571547954</v>
      </c>
      <c r="AH202">
        <v>0.61329125887344049</v>
      </c>
      <c r="AI202">
        <v>9.8993288590604023E-2</v>
      </c>
      <c r="AK202" s="11" t="str">
        <f t="shared" si="73"/>
        <v>IoU 100</v>
      </c>
      <c r="AL202" s="11" t="str">
        <f t="shared" si="80"/>
        <v>IoU 75</v>
      </c>
      <c r="AM202" s="11" t="str">
        <f t="shared" si="81"/>
        <v>IoU 25</v>
      </c>
    </row>
    <row r="203" spans="1:39" ht="15" x14ac:dyDescent="0.25">
      <c r="A203" s="11">
        <v>0.82521312373403477</v>
      </c>
      <c r="B203" s="11">
        <v>0.37902731838784759</v>
      </c>
      <c r="C203" s="11">
        <v>0.23604866437450409</v>
      </c>
      <c r="E203" s="11" t="str">
        <f t="shared" si="70"/>
        <v>IoU 100</v>
      </c>
      <c r="F203" s="11" t="str">
        <f t="shared" si="71"/>
        <v>IoU 50</v>
      </c>
      <c r="G203" s="11" t="str">
        <f t="shared" si="72"/>
        <v>IoU 25</v>
      </c>
      <c r="I203" s="11">
        <v>0.58922967175303509</v>
      </c>
      <c r="J203" s="11">
        <v>0.42705244215242483</v>
      </c>
      <c r="K203" s="11">
        <v>0.38794506096592474</v>
      </c>
      <c r="M203" s="11" t="str">
        <f t="shared" si="82"/>
        <v>IoU 75</v>
      </c>
      <c r="N203" s="11" t="str">
        <f t="shared" si="74"/>
        <v>IoU 50</v>
      </c>
      <c r="O203" s="11" t="str">
        <f t="shared" si="75"/>
        <v>IoU 50</v>
      </c>
      <c r="Q203" s="11">
        <v>0.79868326807449264</v>
      </c>
      <c r="R203" s="11">
        <v>0.61910398502703035</v>
      </c>
      <c r="S203" s="11">
        <v>0.62333690467057301</v>
      </c>
      <c r="U203" s="11" t="str">
        <f t="shared" si="83"/>
        <v>IoU 100</v>
      </c>
      <c r="V203" s="11" t="str">
        <f t="shared" si="76"/>
        <v>IoU 75</v>
      </c>
      <c r="W203" s="11" t="str">
        <f t="shared" si="77"/>
        <v>IoU 75</v>
      </c>
      <c r="Y203">
        <v>0.8972806030546806</v>
      </c>
      <c r="Z203">
        <v>0.36553985872855699</v>
      </c>
      <c r="AA203">
        <v>0.18669435190784481</v>
      </c>
      <c r="AC203" s="11" t="str">
        <f t="shared" ref="AC203:AC214" si="84">VLOOKUP(Y203,IoU_Thresholds,2,TRUE)</f>
        <v>IoU 100</v>
      </c>
      <c r="AD203" s="11" t="str">
        <f t="shared" si="78"/>
        <v>IoU 50</v>
      </c>
      <c r="AE203" s="11" t="str">
        <f t="shared" si="79"/>
        <v>IoU 25</v>
      </c>
      <c r="AG203">
        <v>0.87130920734346418</v>
      </c>
      <c r="AH203">
        <v>0.47930016670360864</v>
      </c>
      <c r="AI203">
        <v>0.4982257394344336</v>
      </c>
      <c r="AK203" s="11" t="str">
        <f t="shared" si="73"/>
        <v>IoU 100</v>
      </c>
      <c r="AL203" s="11" t="str">
        <f t="shared" si="80"/>
        <v>IoU 50</v>
      </c>
      <c r="AM203" s="11" t="str">
        <f t="shared" si="81"/>
        <v>IoU 50</v>
      </c>
    </row>
    <row r="204" spans="1:39" ht="15" x14ac:dyDescent="0.25">
      <c r="A204" s="11">
        <v>0.85105948367813178</v>
      </c>
      <c r="B204" s="11">
        <v>0.70869477019403337</v>
      </c>
      <c r="C204" s="11">
        <v>0.74989390665742195</v>
      </c>
      <c r="E204" s="11" t="str">
        <f t="shared" si="70"/>
        <v>IoU 100</v>
      </c>
      <c r="F204" s="11" t="str">
        <f t="shared" si="71"/>
        <v>IoU 75</v>
      </c>
      <c r="G204" s="11" t="str">
        <f t="shared" si="72"/>
        <v>IoU 75</v>
      </c>
      <c r="I204" s="11">
        <v>0.73741423480883728</v>
      </c>
      <c r="J204" s="11">
        <v>0.40955855079666459</v>
      </c>
      <c r="K204" s="11">
        <v>0.41829817150390414</v>
      </c>
      <c r="M204" s="11" t="str">
        <f t="shared" si="82"/>
        <v>IoU 75</v>
      </c>
      <c r="N204" s="11" t="str">
        <f t="shared" si="74"/>
        <v>IoU 50</v>
      </c>
      <c r="O204" s="11" t="str">
        <f t="shared" si="75"/>
        <v>IoU 50</v>
      </c>
      <c r="Q204" s="11">
        <v>0.82381264427629042</v>
      </c>
      <c r="R204" s="11">
        <v>0.38785951327433627</v>
      </c>
      <c r="S204" s="11">
        <v>0.41048299789253201</v>
      </c>
      <c r="U204" s="11" t="str">
        <f t="shared" si="83"/>
        <v>IoU 100</v>
      </c>
      <c r="V204" s="11" t="str">
        <f t="shared" si="76"/>
        <v>IoU 50</v>
      </c>
      <c r="W204" s="11" t="str">
        <f t="shared" si="77"/>
        <v>IoU 50</v>
      </c>
      <c r="Y204">
        <v>0.29090133823143532</v>
      </c>
      <c r="Z204">
        <v>0.18675819442324246</v>
      </c>
      <c r="AA204">
        <v>0</v>
      </c>
      <c r="AC204" s="11" t="str">
        <f t="shared" si="84"/>
        <v>IoU 50</v>
      </c>
      <c r="AD204" s="11" t="str">
        <f t="shared" si="78"/>
        <v>IoU 25</v>
      </c>
      <c r="AE204" s="11" t="str">
        <f t="shared" si="79"/>
        <v>IoU 25</v>
      </c>
      <c r="AG204">
        <v>0.46148572549404027</v>
      </c>
      <c r="AH204">
        <v>0.62489415586693375</v>
      </c>
      <c r="AI204">
        <v>0.1793683487813251</v>
      </c>
      <c r="AK204" s="11" t="str">
        <f t="shared" si="73"/>
        <v>IoU 50</v>
      </c>
      <c r="AL204" s="11" t="str">
        <f t="shared" si="80"/>
        <v>IoU 75</v>
      </c>
      <c r="AM204" s="11" t="str">
        <f t="shared" si="81"/>
        <v>IoU 25</v>
      </c>
    </row>
    <row r="205" spans="1:39" ht="15" x14ac:dyDescent="0.25">
      <c r="A205" s="11">
        <v>0.72408437967774919</v>
      </c>
      <c r="B205" s="11">
        <v>0.28855325914149443</v>
      </c>
      <c r="C205" s="11">
        <v>0.49310669101841142</v>
      </c>
      <c r="E205" s="11" t="str">
        <f t="shared" si="70"/>
        <v>IoU 75</v>
      </c>
      <c r="F205" s="11" t="str">
        <f t="shared" si="71"/>
        <v>IoU 50</v>
      </c>
      <c r="G205" s="11" t="str">
        <f t="shared" si="72"/>
        <v>IoU 50</v>
      </c>
      <c r="I205" s="11">
        <v>0.56233482540067181</v>
      </c>
      <c r="J205" s="11">
        <v>0.49895325358965092</v>
      </c>
      <c r="K205" s="11">
        <v>0.2723978739471537</v>
      </c>
      <c r="M205" s="11" t="str">
        <f t="shared" si="82"/>
        <v>IoU 75</v>
      </c>
      <c r="N205" s="11" t="str">
        <f t="shared" si="74"/>
        <v>IoU 50</v>
      </c>
      <c r="O205" s="11" t="str">
        <f t="shared" si="75"/>
        <v>IoU 50</v>
      </c>
      <c r="Q205" s="11">
        <v>0.8417331022073351</v>
      </c>
      <c r="R205" s="11">
        <v>0.72781237462133697</v>
      </c>
      <c r="S205" s="11">
        <v>0.61246496547794105</v>
      </c>
      <c r="U205" s="11" t="str">
        <f t="shared" si="83"/>
        <v>IoU 100</v>
      </c>
      <c r="V205" s="11" t="str">
        <f t="shared" si="76"/>
        <v>IoU 75</v>
      </c>
      <c r="W205" s="11" t="str">
        <f t="shared" si="77"/>
        <v>IoU 75</v>
      </c>
      <c r="Y205">
        <v>0.85994441858755599</v>
      </c>
      <c r="Z205">
        <v>0.71291478484356552</v>
      </c>
      <c r="AA205">
        <v>0.69430767393727111</v>
      </c>
      <c r="AC205" s="11" t="str">
        <f t="shared" si="84"/>
        <v>IoU 100</v>
      </c>
      <c r="AD205" s="11" t="str">
        <f t="shared" si="78"/>
        <v>IoU 75</v>
      </c>
      <c r="AE205" s="11" t="str">
        <f t="shared" si="79"/>
        <v>IoU 75</v>
      </c>
      <c r="AG205">
        <v>0.42702145274441167</v>
      </c>
      <c r="AH205">
        <v>0.33661067868359962</v>
      </c>
      <c r="AI205">
        <v>0.3489747636324948</v>
      </c>
      <c r="AK205" s="11" t="str">
        <f t="shared" si="73"/>
        <v>IoU 50</v>
      </c>
      <c r="AL205" s="11" t="str">
        <f t="shared" si="80"/>
        <v>IoU 50</v>
      </c>
      <c r="AM205" s="11" t="str">
        <f t="shared" si="81"/>
        <v>IoU 50</v>
      </c>
    </row>
    <row r="206" spans="1:39" ht="15" x14ac:dyDescent="0.25">
      <c r="A206" s="11">
        <v>0.74405922782692802</v>
      </c>
      <c r="B206" s="11">
        <v>0.76941399436089641</v>
      </c>
      <c r="C206" s="11">
        <v>0.55026563001589435</v>
      </c>
      <c r="E206" s="11" t="str">
        <f t="shared" si="70"/>
        <v>IoU 75</v>
      </c>
      <c r="F206" s="11" t="str">
        <f t="shared" si="71"/>
        <v>IoU 100</v>
      </c>
      <c r="G206" s="11" t="str">
        <f t="shared" si="72"/>
        <v>IoU 75</v>
      </c>
      <c r="I206" s="11">
        <v>0.7255276457633606</v>
      </c>
      <c r="J206" s="11">
        <v>0.28164867517173697</v>
      </c>
      <c r="K206" s="11">
        <v>0.30335889976196773</v>
      </c>
      <c r="M206" s="11" t="str">
        <f t="shared" si="82"/>
        <v>IoU 75</v>
      </c>
      <c r="N206" s="11" t="str">
        <f t="shared" si="74"/>
        <v>IoU 50</v>
      </c>
      <c r="O206" s="11" t="str">
        <f t="shared" si="75"/>
        <v>IoU 50</v>
      </c>
      <c r="Q206" s="11">
        <v>0.82274359640393135</v>
      </c>
      <c r="R206" s="11">
        <v>0.71348440854752782</v>
      </c>
      <c r="S206" s="11">
        <v>0.6136016560500025</v>
      </c>
      <c r="U206" s="11" t="str">
        <f t="shared" si="83"/>
        <v>IoU 100</v>
      </c>
      <c r="V206" s="11" t="str">
        <f t="shared" si="76"/>
        <v>IoU 75</v>
      </c>
      <c r="W206" s="11" t="str">
        <f t="shared" si="77"/>
        <v>IoU 75</v>
      </c>
      <c r="Y206">
        <v>0.82066275043997394</v>
      </c>
      <c r="Z206">
        <v>0.42501016395955665</v>
      </c>
      <c r="AA206">
        <v>0.19760794343312774</v>
      </c>
      <c r="AC206" s="11" t="str">
        <f t="shared" si="84"/>
        <v>IoU 100</v>
      </c>
      <c r="AD206" s="11" t="str">
        <f t="shared" si="78"/>
        <v>IoU 50</v>
      </c>
      <c r="AE206" s="11" t="str">
        <f t="shared" si="79"/>
        <v>IoU 25</v>
      </c>
      <c r="AG206">
        <v>0.90927460428055751</v>
      </c>
      <c r="AH206">
        <v>0.67053223333170142</v>
      </c>
      <c r="AI206">
        <v>0.63601174265853055</v>
      </c>
      <c r="AK206" s="11" t="str">
        <f t="shared" si="73"/>
        <v>IoU 100</v>
      </c>
      <c r="AL206" s="11" t="str">
        <f t="shared" si="80"/>
        <v>IoU 75</v>
      </c>
      <c r="AM206" s="11" t="str">
        <f t="shared" si="81"/>
        <v>IoU 75</v>
      </c>
    </row>
    <row r="207" spans="1:39" ht="15" x14ac:dyDescent="0.25">
      <c r="A207" s="11">
        <v>0.72335656372193435</v>
      </c>
      <c r="B207" s="11">
        <v>0.27925910848768576</v>
      </c>
      <c r="C207" s="11">
        <v>0.38697720782729272</v>
      </c>
      <c r="E207" s="11" t="str">
        <f t="shared" si="70"/>
        <v>IoU 75</v>
      </c>
      <c r="F207" s="11" t="str">
        <f t="shared" si="71"/>
        <v>IoU 50</v>
      </c>
      <c r="G207" s="11" t="str">
        <f t="shared" si="72"/>
        <v>IoU 50</v>
      </c>
      <c r="I207" s="11">
        <v>0.66420956263087794</v>
      </c>
      <c r="J207" s="11">
        <v>0.53452926920935417</v>
      </c>
      <c r="K207" s="11">
        <v>0.41331670793237091</v>
      </c>
      <c r="M207" s="11" t="str">
        <f t="shared" si="82"/>
        <v>IoU 75</v>
      </c>
      <c r="N207" s="11" t="str">
        <f t="shared" si="74"/>
        <v>IoU 75</v>
      </c>
      <c r="O207" s="11" t="str">
        <f t="shared" si="75"/>
        <v>IoU 50</v>
      </c>
      <c r="Q207" s="11">
        <v>0.83507956162291663</v>
      </c>
      <c r="R207" s="11">
        <v>0.68429932034373897</v>
      </c>
      <c r="S207" s="11">
        <v>0.72810019713895757</v>
      </c>
      <c r="U207" s="11" t="str">
        <f t="shared" si="83"/>
        <v>IoU 100</v>
      </c>
      <c r="V207" s="11" t="str">
        <f t="shared" si="76"/>
        <v>IoU 75</v>
      </c>
      <c r="W207" s="11" t="str">
        <f t="shared" si="77"/>
        <v>IoU 75</v>
      </c>
      <c r="Y207">
        <v>0.58291026704064475</v>
      </c>
      <c r="Z207">
        <v>0.38844631605490371</v>
      </c>
      <c r="AA207">
        <v>0.37022603273577553</v>
      </c>
      <c r="AC207" s="11" t="str">
        <f t="shared" si="84"/>
        <v>IoU 75</v>
      </c>
      <c r="AD207" s="11" t="str">
        <f t="shared" si="78"/>
        <v>IoU 50</v>
      </c>
      <c r="AE207" s="11" t="str">
        <f t="shared" si="79"/>
        <v>IoU 50</v>
      </c>
      <c r="AG207">
        <v>0.86628815513541446</v>
      </c>
      <c r="AH207">
        <v>0.58379847274444086</v>
      </c>
      <c r="AI207">
        <v>0.46818681895895886</v>
      </c>
      <c r="AK207" s="11" t="str">
        <f t="shared" si="73"/>
        <v>IoU 100</v>
      </c>
      <c r="AL207" s="11" t="str">
        <f t="shared" si="80"/>
        <v>IoU 75</v>
      </c>
      <c r="AM207" s="11" t="str">
        <f t="shared" si="81"/>
        <v>IoU 50</v>
      </c>
    </row>
    <row r="208" spans="1:39" ht="15" x14ac:dyDescent="0.25">
      <c r="A208" s="11">
        <v>0.87403637783836441</v>
      </c>
      <c r="B208" s="11">
        <v>0.72224505148218654</v>
      </c>
      <c r="C208" s="11">
        <v>0.84822707934551822</v>
      </c>
      <c r="E208" s="11" t="str">
        <f t="shared" si="70"/>
        <v>IoU 100</v>
      </c>
      <c r="F208" s="11" t="str">
        <f t="shared" si="71"/>
        <v>IoU 75</v>
      </c>
      <c r="G208" s="11" t="str">
        <f t="shared" si="72"/>
        <v>IoU 100</v>
      </c>
      <c r="I208" s="11">
        <v>0.40309704274353875</v>
      </c>
      <c r="J208" s="11">
        <v>0.39290573973280551</v>
      </c>
      <c r="K208" s="11">
        <v>0.34354967948717946</v>
      </c>
      <c r="M208" s="11" t="str">
        <f t="shared" si="82"/>
        <v>IoU 50</v>
      </c>
      <c r="N208" s="11" t="str">
        <f t="shared" si="74"/>
        <v>IoU 50</v>
      </c>
      <c r="O208" s="11" t="str">
        <f t="shared" si="75"/>
        <v>IoU 50</v>
      </c>
      <c r="Q208" s="11">
        <v>0.86278153717605877</v>
      </c>
      <c r="R208" s="11">
        <v>0.86972317846855518</v>
      </c>
      <c r="S208" s="11">
        <v>0.49620182971707927</v>
      </c>
      <c r="U208" s="11" t="str">
        <f t="shared" si="83"/>
        <v>IoU 100</v>
      </c>
      <c r="V208" s="11" t="str">
        <f t="shared" si="76"/>
        <v>IoU 100</v>
      </c>
      <c r="W208" s="11" t="str">
        <f t="shared" si="77"/>
        <v>IoU 50</v>
      </c>
      <c r="Y208">
        <v>0.80938024636880745</v>
      </c>
      <c r="Z208">
        <v>0.70672308969534603</v>
      </c>
      <c r="AA208">
        <v>0.2897979300147856</v>
      </c>
      <c r="AC208" s="11" t="str">
        <f t="shared" si="84"/>
        <v>IoU 100</v>
      </c>
      <c r="AD208" s="11" t="str">
        <f t="shared" si="78"/>
        <v>IoU 75</v>
      </c>
      <c r="AE208" s="11" t="str">
        <f t="shared" si="79"/>
        <v>IoU 50</v>
      </c>
      <c r="AG208">
        <v>0.82646303371051544</v>
      </c>
      <c r="AH208">
        <v>0.59498304674396219</v>
      </c>
      <c r="AI208">
        <v>0.59923057514377942</v>
      </c>
      <c r="AK208" s="11" t="str">
        <f t="shared" si="73"/>
        <v>IoU 100</v>
      </c>
      <c r="AL208" s="11" t="str">
        <f t="shared" si="80"/>
        <v>IoU 75</v>
      </c>
      <c r="AM208" s="11" t="str">
        <f t="shared" si="81"/>
        <v>IoU 75</v>
      </c>
    </row>
    <row r="209" spans="1:39" ht="15" x14ac:dyDescent="0.25">
      <c r="A209" s="11">
        <v>0.82670352854315432</v>
      </c>
      <c r="B209" s="11">
        <v>0.73110123234344093</v>
      </c>
      <c r="C209" s="11">
        <v>0.71831646210862166</v>
      </c>
      <c r="E209" s="11" t="str">
        <f t="shared" si="70"/>
        <v>IoU 100</v>
      </c>
      <c r="F209" s="11" t="str">
        <f t="shared" si="71"/>
        <v>IoU 75</v>
      </c>
      <c r="G209" s="11" t="str">
        <f t="shared" si="72"/>
        <v>IoU 75</v>
      </c>
      <c r="I209" s="11">
        <v>0.91002901771718347</v>
      </c>
      <c r="J209" s="11">
        <v>0.73296644964812407</v>
      </c>
      <c r="K209" s="11">
        <v>0.58935972093474176</v>
      </c>
      <c r="M209" s="11" t="str">
        <f t="shared" si="82"/>
        <v>IoU 100</v>
      </c>
      <c r="N209" s="11" t="str">
        <f t="shared" si="74"/>
        <v>IoU 75</v>
      </c>
      <c r="O209" s="11" t="str">
        <f t="shared" si="75"/>
        <v>IoU 75</v>
      </c>
      <c r="Q209" s="11">
        <v>0.85091813471765376</v>
      </c>
      <c r="R209" s="11">
        <v>0.79959568257916847</v>
      </c>
      <c r="S209" s="11">
        <v>0.58583466340269275</v>
      </c>
      <c r="U209" s="11" t="str">
        <f t="shared" si="83"/>
        <v>IoU 100</v>
      </c>
      <c r="V209" s="11" t="str">
        <f t="shared" si="76"/>
        <v>IoU 100</v>
      </c>
      <c r="W209" s="11" t="str">
        <f t="shared" si="77"/>
        <v>IoU 75</v>
      </c>
      <c r="Y209">
        <v>0.60214518565134934</v>
      </c>
      <c r="Z209">
        <v>0.45711094037416655</v>
      </c>
      <c r="AA209">
        <v>0.36367057305666056</v>
      </c>
      <c r="AC209" s="11" t="str">
        <f t="shared" si="84"/>
        <v>IoU 75</v>
      </c>
      <c r="AD209" s="11" t="str">
        <f t="shared" si="78"/>
        <v>IoU 50</v>
      </c>
      <c r="AE209" s="11" t="str">
        <f t="shared" si="79"/>
        <v>IoU 50</v>
      </c>
      <c r="AG209">
        <v>0.457941216418074</v>
      </c>
      <c r="AH209">
        <v>0.59517289801649986</v>
      </c>
      <c r="AI209">
        <v>0.35890767230169052</v>
      </c>
      <c r="AK209" s="11" t="str">
        <f t="shared" si="73"/>
        <v>IoU 50</v>
      </c>
      <c r="AL209" s="11" t="str">
        <f t="shared" si="80"/>
        <v>IoU 75</v>
      </c>
      <c r="AM209" s="11" t="str">
        <f t="shared" si="81"/>
        <v>IoU 50</v>
      </c>
    </row>
    <row r="210" spans="1:39" ht="15" x14ac:dyDescent="0.25">
      <c r="A210" s="11">
        <v>0.85101060940683848</v>
      </c>
      <c r="B210" s="11">
        <v>0.65519592751756317</v>
      </c>
      <c r="C210" s="11">
        <v>0.62974942882026119</v>
      </c>
      <c r="E210" s="11" t="str">
        <f t="shared" si="70"/>
        <v>IoU 100</v>
      </c>
      <c r="F210" s="11" t="str">
        <f t="shared" si="71"/>
        <v>IoU 75</v>
      </c>
      <c r="G210" s="11" t="str">
        <f t="shared" si="72"/>
        <v>IoU 75</v>
      </c>
      <c r="I210" s="11">
        <v>0.44651838605119032</v>
      </c>
      <c r="J210" s="11">
        <v>0.49835636426583113</v>
      </c>
      <c r="K210" s="11">
        <v>0.35463756819953235</v>
      </c>
      <c r="M210" s="11" t="str">
        <f t="shared" si="82"/>
        <v>IoU 50</v>
      </c>
      <c r="N210" s="11" t="str">
        <f t="shared" si="74"/>
        <v>IoU 50</v>
      </c>
      <c r="O210" s="11" t="str">
        <f t="shared" si="75"/>
        <v>IoU 50</v>
      </c>
      <c r="Q210" s="11">
        <v>0.85681385698417445</v>
      </c>
      <c r="R210" s="11">
        <v>0.76539045958894925</v>
      </c>
      <c r="S210" s="11">
        <v>0.76486703584355753</v>
      </c>
      <c r="U210" s="11" t="str">
        <f t="shared" si="83"/>
        <v>IoU 100</v>
      </c>
      <c r="V210" s="11" t="str">
        <f t="shared" si="76"/>
        <v>IoU 100</v>
      </c>
      <c r="W210" s="11" t="str">
        <f t="shared" si="77"/>
        <v>IoU 100</v>
      </c>
      <c r="Y210">
        <v>0.56318533776127222</v>
      </c>
      <c r="Z210">
        <v>0.48696421524929318</v>
      </c>
      <c r="AA210">
        <v>0.26726370841314023</v>
      </c>
      <c r="AC210" s="11" t="str">
        <f t="shared" si="84"/>
        <v>IoU 75</v>
      </c>
      <c r="AD210" s="11" t="str">
        <f t="shared" si="78"/>
        <v>IoU 50</v>
      </c>
      <c r="AE210" s="11" t="str">
        <f t="shared" si="79"/>
        <v>IoU 50</v>
      </c>
      <c r="AG210">
        <v>0.85509722600535909</v>
      </c>
      <c r="AH210">
        <v>0.64336585451449257</v>
      </c>
      <c r="AI210">
        <v>0.22976513206822924</v>
      </c>
      <c r="AK210" s="11" t="str">
        <f t="shared" si="73"/>
        <v>IoU 100</v>
      </c>
      <c r="AL210" s="11" t="str">
        <f t="shared" si="80"/>
        <v>IoU 75</v>
      </c>
      <c r="AM210" s="11" t="str">
        <f t="shared" si="81"/>
        <v>IoU 25</v>
      </c>
    </row>
    <row r="211" spans="1:39" ht="15" x14ac:dyDescent="0.25">
      <c r="A211" s="11">
        <v>0.81906922891164324</v>
      </c>
      <c r="B211" s="11">
        <v>0.73717882240872568</v>
      </c>
      <c r="C211" s="11">
        <v>0.58252548700984508</v>
      </c>
      <c r="E211" s="11" t="str">
        <f t="shared" si="70"/>
        <v>IoU 100</v>
      </c>
      <c r="F211" s="11" t="str">
        <f t="shared" si="71"/>
        <v>IoU 75</v>
      </c>
      <c r="G211" s="11" t="str">
        <f t="shared" si="72"/>
        <v>IoU 75</v>
      </c>
      <c r="I211" s="11">
        <v>0.39942200012041662</v>
      </c>
      <c r="J211" s="11">
        <v>0.31972882284462095</v>
      </c>
      <c r="K211" s="11">
        <v>0.3873033860764093</v>
      </c>
      <c r="M211" s="11" t="str">
        <f t="shared" si="82"/>
        <v>IoU 50</v>
      </c>
      <c r="N211" s="11" t="str">
        <f t="shared" si="74"/>
        <v>IoU 50</v>
      </c>
      <c r="O211" s="11" t="str">
        <f t="shared" si="75"/>
        <v>IoU 50</v>
      </c>
      <c r="Q211" s="11">
        <v>0.82460022621136497</v>
      </c>
      <c r="R211" s="11">
        <v>0.71913861966308756</v>
      </c>
      <c r="S211" s="11">
        <v>0.70287496589642107</v>
      </c>
      <c r="U211" s="11" t="str">
        <f t="shared" si="83"/>
        <v>IoU 100</v>
      </c>
      <c r="V211" s="11" t="str">
        <f t="shared" si="76"/>
        <v>IoU 75</v>
      </c>
      <c r="W211" s="11" t="str">
        <f t="shared" si="77"/>
        <v>IoU 75</v>
      </c>
      <c r="Y211">
        <v>0.5725080004838744</v>
      </c>
      <c r="Z211">
        <v>0.4920044821950374</v>
      </c>
      <c r="AA211">
        <v>0.42855015332084312</v>
      </c>
      <c r="AC211" s="11" t="str">
        <f t="shared" si="84"/>
        <v>IoU 75</v>
      </c>
      <c r="AD211" s="11" t="str">
        <f t="shared" si="78"/>
        <v>IoU 50</v>
      </c>
      <c r="AE211" s="11" t="str">
        <f t="shared" si="79"/>
        <v>IoU 50</v>
      </c>
      <c r="AG211">
        <v>0.43718471177494928</v>
      </c>
      <c r="AH211">
        <v>0.75444836415171013</v>
      </c>
      <c r="AI211">
        <v>0.19467178273349922</v>
      </c>
      <c r="AK211" s="11" t="str">
        <f t="shared" si="73"/>
        <v>IoU 50</v>
      </c>
      <c r="AL211" s="11" t="str">
        <f t="shared" si="80"/>
        <v>IoU 100</v>
      </c>
      <c r="AM211" s="11" t="str">
        <f t="shared" si="81"/>
        <v>IoU 25</v>
      </c>
    </row>
    <row r="212" spans="1:39" ht="15" x14ac:dyDescent="0.25">
      <c r="A212" s="11">
        <v>0.54353510654205439</v>
      </c>
      <c r="B212" s="11">
        <v>0.49823289678056804</v>
      </c>
      <c r="C212" s="11">
        <v>0.39102719766877125</v>
      </c>
      <c r="E212" s="11" t="str">
        <f t="shared" si="70"/>
        <v>IoU 75</v>
      </c>
      <c r="F212" s="11" t="str">
        <f t="shared" si="71"/>
        <v>IoU 50</v>
      </c>
      <c r="G212" s="11" t="str">
        <f t="shared" si="72"/>
        <v>IoU 50</v>
      </c>
      <c r="I212" s="11">
        <v>0.77071375821840271</v>
      </c>
      <c r="J212" s="11">
        <v>0.6037188744696198</v>
      </c>
      <c r="K212" s="11">
        <v>0.31835728952772074</v>
      </c>
      <c r="M212" s="11" t="str">
        <f t="shared" si="82"/>
        <v>IoU 100</v>
      </c>
      <c r="N212" s="11" t="str">
        <f t="shared" si="74"/>
        <v>IoU 75</v>
      </c>
      <c r="O212" s="11" t="str">
        <f t="shared" si="75"/>
        <v>IoU 50</v>
      </c>
      <c r="Q212" s="11">
        <v>0.81894178205611623</v>
      </c>
      <c r="R212" s="11">
        <v>0.43694537138873518</v>
      </c>
      <c r="S212" s="11">
        <v>0.35940156553224589</v>
      </c>
      <c r="U212" s="11" t="str">
        <f t="shared" si="83"/>
        <v>IoU 100</v>
      </c>
      <c r="V212" s="11" t="str">
        <f t="shared" si="76"/>
        <v>IoU 50</v>
      </c>
      <c r="W212" s="11" t="str">
        <f t="shared" si="77"/>
        <v>IoU 50</v>
      </c>
      <c r="Y212">
        <v>0.44855316757971625</v>
      </c>
      <c r="Z212">
        <v>0.43166073195738663</v>
      </c>
      <c r="AA212">
        <v>0.26241812906420331</v>
      </c>
      <c r="AC212" s="11" t="str">
        <f t="shared" si="84"/>
        <v>IoU 50</v>
      </c>
      <c r="AD212" s="11" t="str">
        <f t="shared" si="78"/>
        <v>IoU 50</v>
      </c>
      <c r="AE212" s="11" t="str">
        <f t="shared" si="79"/>
        <v>IoU 50</v>
      </c>
      <c r="AG212">
        <v>0.85933466841731687</v>
      </c>
      <c r="AH212">
        <v>0.45849940389920052</v>
      </c>
      <c r="AI212">
        <v>0.50120533962168101</v>
      </c>
      <c r="AK212" s="11" t="str">
        <f t="shared" si="73"/>
        <v>IoU 100</v>
      </c>
      <c r="AL212" s="11" t="str">
        <f t="shared" si="80"/>
        <v>IoU 50</v>
      </c>
      <c r="AM212" s="11" t="str">
        <f t="shared" si="81"/>
        <v>IoU 75</v>
      </c>
    </row>
    <row r="213" spans="1:39" ht="15" x14ac:dyDescent="0.25">
      <c r="A213" s="11">
        <v>0.59446905532683803</v>
      </c>
      <c r="B213" s="11">
        <v>0.51921214241282876</v>
      </c>
      <c r="C213" s="11">
        <v>0.32773109243697479</v>
      </c>
      <c r="E213" s="11" t="str">
        <f t="shared" si="70"/>
        <v>IoU 75</v>
      </c>
      <c r="F213" s="11" t="str">
        <f t="shared" si="71"/>
        <v>IoU 75</v>
      </c>
      <c r="G213" s="11" t="str">
        <f t="shared" si="72"/>
        <v>IoU 50</v>
      </c>
      <c r="I213" s="11">
        <v>0.85067529262899111</v>
      </c>
      <c r="J213" s="11">
        <v>0.54688180935864195</v>
      </c>
      <c r="K213" s="11">
        <v>0.81504836015445925</v>
      </c>
      <c r="M213" s="11" t="str">
        <f t="shared" si="82"/>
        <v>IoU 100</v>
      </c>
      <c r="N213" s="11" t="str">
        <f t="shared" si="74"/>
        <v>IoU 75</v>
      </c>
      <c r="O213" s="11" t="str">
        <f t="shared" si="75"/>
        <v>IoU 100</v>
      </c>
      <c r="Q213" s="11">
        <v>0.80115893494479162</v>
      </c>
      <c r="R213" s="11">
        <v>0.52029636456247785</v>
      </c>
      <c r="S213" s="11">
        <v>0.2456683950929556</v>
      </c>
      <c r="U213" s="11" t="str">
        <f t="shared" si="83"/>
        <v>IoU 100</v>
      </c>
      <c r="V213" s="11" t="str">
        <f t="shared" si="76"/>
        <v>IoU 75</v>
      </c>
      <c r="W213" s="11" t="str">
        <f t="shared" si="77"/>
        <v>IoU 25</v>
      </c>
      <c r="Y213">
        <v>0.44168994413407819</v>
      </c>
      <c r="Z213">
        <v>0.38407163059127253</v>
      </c>
      <c r="AA213">
        <v>0.36752568788536594</v>
      </c>
      <c r="AC213" s="11" t="str">
        <f t="shared" si="84"/>
        <v>IoU 50</v>
      </c>
      <c r="AD213" s="11" t="str">
        <f t="shared" si="78"/>
        <v>IoU 50</v>
      </c>
      <c r="AE213" s="11" t="str">
        <f t="shared" si="79"/>
        <v>IoU 50</v>
      </c>
      <c r="AG213">
        <v>0.45137111849149741</v>
      </c>
      <c r="AH213">
        <v>0.30992739459177326</v>
      </c>
      <c r="AI213">
        <v>0.22900763358778625</v>
      </c>
      <c r="AK213" s="11" t="str">
        <f t="shared" si="73"/>
        <v>IoU 50</v>
      </c>
      <c r="AL213" s="11" t="str">
        <f t="shared" si="80"/>
        <v>IoU 50</v>
      </c>
      <c r="AM213" s="11" t="str">
        <f t="shared" si="81"/>
        <v>IoU 25</v>
      </c>
    </row>
    <row r="214" spans="1:39" ht="15" x14ac:dyDescent="0.25">
      <c r="Y214">
        <v>0.86130497065116651</v>
      </c>
      <c r="Z214">
        <v>0.80352384722235048</v>
      </c>
      <c r="AA214">
        <v>0.60238467495203285</v>
      </c>
      <c r="AC214" s="11" t="str">
        <f t="shared" si="84"/>
        <v>IoU 100</v>
      </c>
      <c r="AD214" s="11" t="str">
        <f t="shared" si="78"/>
        <v>IoU 100</v>
      </c>
      <c r="AE214" s="11" t="str">
        <f t="shared" si="79"/>
        <v>IoU 75</v>
      </c>
    </row>
    <row r="217" spans="1:39" x14ac:dyDescent="0.2">
      <c r="A217" s="48" t="s">
        <v>24</v>
      </c>
      <c r="B217" s="48"/>
      <c r="C217" s="48"/>
      <c r="D217" s="48"/>
      <c r="E217" s="48"/>
      <c r="F217" s="48"/>
      <c r="G217" s="48"/>
      <c r="I217" s="48" t="s">
        <v>24</v>
      </c>
      <c r="J217" s="48"/>
      <c r="K217" s="48"/>
      <c r="L217" s="48"/>
      <c r="M217" s="48"/>
      <c r="N217" s="48"/>
      <c r="O217" s="48"/>
      <c r="Q217" s="48" t="s">
        <v>24</v>
      </c>
      <c r="R217" s="48"/>
      <c r="S217" s="48"/>
      <c r="T217" s="48"/>
      <c r="U217" s="48"/>
      <c r="V217" s="48"/>
      <c r="W217" s="48"/>
      <c r="Y217" s="48" t="s">
        <v>24</v>
      </c>
      <c r="Z217" s="48"/>
      <c r="AA217" s="48"/>
      <c r="AB217" s="48"/>
      <c r="AC217" s="48"/>
      <c r="AD217" s="48"/>
      <c r="AE217" s="48"/>
      <c r="AG217" s="48" t="s">
        <v>24</v>
      </c>
      <c r="AH217" s="48"/>
      <c r="AI217" s="48"/>
      <c r="AJ217" s="48"/>
      <c r="AK217" s="48"/>
      <c r="AL217" s="48"/>
      <c r="AM217" s="48"/>
    </row>
    <row r="218" spans="1:39" ht="15" x14ac:dyDescent="0.25">
      <c r="I218">
        <v>0.39654202260985216</v>
      </c>
      <c r="J218">
        <v>0.50776249867912826</v>
      </c>
      <c r="K218">
        <v>0.40659502619899024</v>
      </c>
      <c r="M218" s="11" t="str">
        <f t="shared" ref="M218:M244" si="85">VLOOKUP(I218,IoU_Thresholds,2,TRUE)</f>
        <v>IoU 50</v>
      </c>
      <c r="N218" s="11" t="str">
        <f t="shared" ref="N218" si="86">VLOOKUP(J218,IoU_Thresholds,2,TRUE)</f>
        <v>IoU 75</v>
      </c>
      <c r="O218" s="11" t="str">
        <f t="shared" ref="O218" si="87">VLOOKUP(K218,IoU_Thresholds,2,TRUE)</f>
        <v>IoU 50</v>
      </c>
      <c r="Q218">
        <v>0.44207773286257951</v>
      </c>
      <c r="R218">
        <v>0.3153725707452506</v>
      </c>
      <c r="S218">
        <v>0.41360457938393491</v>
      </c>
      <c r="U218" s="11" t="str">
        <f t="shared" ref="U218:U254" si="88">VLOOKUP(Q218,IoU_Thresholds,2,TRUE)</f>
        <v>IoU 50</v>
      </c>
      <c r="V218" s="11" t="str">
        <f t="shared" ref="V218" si="89">VLOOKUP(R218,IoU_Thresholds,2,TRUE)</f>
        <v>IoU 50</v>
      </c>
      <c r="W218" s="11" t="str">
        <f t="shared" ref="W218" si="90">VLOOKUP(S218,IoU_Thresholds,2,TRUE)</f>
        <v>IoU 50</v>
      </c>
      <c r="Y218" s="11">
        <v>0.73202418263490832</v>
      </c>
      <c r="Z218" s="11">
        <v>0.34080132764343291</v>
      </c>
      <c r="AA218" s="11">
        <v>0.22608695652173913</v>
      </c>
      <c r="AC218" s="11" t="str">
        <f>VLOOKUP(Y218,IoU_Thresholds,2,TRUE)</f>
        <v>IoU 75</v>
      </c>
      <c r="AD218" s="11" t="str">
        <f t="shared" ref="AD218" si="91">VLOOKUP(Z218,IoU_Thresholds,2,TRUE)</f>
        <v>IoU 50</v>
      </c>
      <c r="AE218" s="11" t="str">
        <f t="shared" ref="AE218" si="92">VLOOKUP(AA218,IoU_Thresholds,2,TRUE)</f>
        <v>IoU 25</v>
      </c>
      <c r="AG218" s="11">
        <v>0.44893912154069748</v>
      </c>
      <c r="AH218" s="11">
        <v>0.68578287622644452</v>
      </c>
      <c r="AI218" s="11">
        <v>0.30722600616637474</v>
      </c>
      <c r="AK218" s="11" t="str">
        <f t="shared" ref="AK218:AK254" si="93">VLOOKUP(AG218,IoU_Thresholds,2,TRUE)</f>
        <v>IoU 50</v>
      </c>
      <c r="AL218" s="11" t="str">
        <f t="shared" ref="AL218" si="94">VLOOKUP(AH218,IoU_Thresholds,2,TRUE)</f>
        <v>IoU 75</v>
      </c>
      <c r="AM218" s="11" t="str">
        <f t="shared" ref="AM218" si="95">VLOOKUP(AI218,IoU_Thresholds,2,TRUE)</f>
        <v>IoU 50</v>
      </c>
    </row>
    <row r="219" spans="1:39" ht="15" x14ac:dyDescent="0.25">
      <c r="I219">
        <v>0.82983800617966552</v>
      </c>
      <c r="J219">
        <v>0.34465249127261188</v>
      </c>
      <c r="K219">
        <v>0.24658537019875096</v>
      </c>
      <c r="M219" s="11" t="str">
        <f t="shared" si="85"/>
        <v>IoU 100</v>
      </c>
      <c r="N219" s="11" t="str">
        <f t="shared" ref="N219:N282" si="96">VLOOKUP(J219,IoU_Thresholds,2,TRUE)</f>
        <v>IoU 50</v>
      </c>
      <c r="O219" s="11" t="str">
        <f t="shared" ref="O219:O282" si="97">VLOOKUP(K219,IoU_Thresholds,2,TRUE)</f>
        <v>IoU 25</v>
      </c>
      <c r="Q219">
        <v>0.46430520817501886</v>
      </c>
      <c r="R219">
        <v>0.55100211608262872</v>
      </c>
      <c r="S219">
        <v>0.25918709523192868</v>
      </c>
      <c r="U219" s="11" t="str">
        <f t="shared" si="88"/>
        <v>IoU 50</v>
      </c>
      <c r="V219" s="11" t="str">
        <f t="shared" ref="V219:V282" si="98">VLOOKUP(R219,IoU_Thresholds,2,TRUE)</f>
        <v>IoU 75</v>
      </c>
      <c r="W219" s="11" t="str">
        <f t="shared" ref="W219:W282" si="99">VLOOKUP(S219,IoU_Thresholds,2,TRUE)</f>
        <v>IoU 50</v>
      </c>
      <c r="Y219" s="11">
        <v>0.66882357210357557</v>
      </c>
      <c r="Z219" s="11">
        <v>0.31384654151442609</v>
      </c>
      <c r="AA219" s="11">
        <v>0.15432605483500247</v>
      </c>
      <c r="AC219" s="11" t="str">
        <f>VLOOKUP(Y219,IoU_Thresholds,2,TRUE)</f>
        <v>IoU 75</v>
      </c>
      <c r="AD219" s="11" t="str">
        <f t="shared" ref="AD219:AD282" si="100">VLOOKUP(Z219,IoU_Thresholds,2,TRUE)</f>
        <v>IoU 50</v>
      </c>
      <c r="AE219" s="11" t="str">
        <f t="shared" ref="AE219:AE282" si="101">VLOOKUP(AA219,IoU_Thresholds,2,TRUE)</f>
        <v>IoU 25</v>
      </c>
      <c r="AG219" s="11">
        <v>0.39866086817465318</v>
      </c>
      <c r="AH219" s="11">
        <v>0.5179469761948452</v>
      </c>
      <c r="AI219" s="11">
        <v>0.28687609008356341</v>
      </c>
      <c r="AK219" s="11" t="str">
        <f t="shared" si="93"/>
        <v>IoU 50</v>
      </c>
      <c r="AL219" s="11" t="str">
        <f t="shared" ref="AL219:AL282" si="102">VLOOKUP(AH219,IoU_Thresholds,2,TRUE)</f>
        <v>IoU 75</v>
      </c>
      <c r="AM219" s="11" t="str">
        <f t="shared" ref="AM219:AM282" si="103">VLOOKUP(AI219,IoU_Thresholds,2,TRUE)</f>
        <v>IoU 50</v>
      </c>
    </row>
    <row r="220" spans="1:39" ht="15" x14ac:dyDescent="0.25">
      <c r="I220">
        <v>0.39811022683844344</v>
      </c>
      <c r="J220">
        <v>0.21430242478054079</v>
      </c>
      <c r="K220">
        <v>0.6167874840455283</v>
      </c>
      <c r="M220" s="11" t="str">
        <f t="shared" si="85"/>
        <v>IoU 50</v>
      </c>
      <c r="N220" s="11" t="str">
        <f t="shared" si="96"/>
        <v>IoU 25</v>
      </c>
      <c r="O220" s="11" t="str">
        <f t="shared" si="97"/>
        <v>IoU 75</v>
      </c>
      <c r="Q220">
        <v>0.31350792385381399</v>
      </c>
      <c r="R220">
        <v>0.39444444444444443</v>
      </c>
      <c r="S220">
        <v>0</v>
      </c>
      <c r="U220" s="11" t="str">
        <f t="shared" si="88"/>
        <v>IoU 50</v>
      </c>
      <c r="V220" s="11" t="str">
        <f t="shared" si="98"/>
        <v>IoU 50</v>
      </c>
      <c r="W220" s="11" t="str">
        <f t="shared" si="99"/>
        <v>IoU 25</v>
      </c>
      <c r="Y220" s="11">
        <v>0.41928947723895715</v>
      </c>
      <c r="Z220" s="11">
        <v>0.69801934216464034</v>
      </c>
      <c r="AA220" s="11">
        <v>0.36823743070158671</v>
      </c>
      <c r="AC220" s="11" t="str">
        <f>VLOOKUP(Y220,IoU_Thresholds,2,TRUE)</f>
        <v>IoU 50</v>
      </c>
      <c r="AD220" s="11" t="str">
        <f t="shared" si="100"/>
        <v>IoU 75</v>
      </c>
      <c r="AE220" s="11" t="str">
        <f t="shared" si="101"/>
        <v>IoU 50</v>
      </c>
      <c r="AG220" s="11">
        <v>8.7718622077430225E-2</v>
      </c>
      <c r="AH220" s="11">
        <v>0</v>
      </c>
      <c r="AI220" s="11">
        <v>4.8031654685456622E-2</v>
      </c>
      <c r="AK220" s="11" t="str">
        <f t="shared" si="93"/>
        <v>IoU 25</v>
      </c>
      <c r="AL220" s="11" t="str">
        <f t="shared" si="102"/>
        <v>IoU 25</v>
      </c>
      <c r="AM220" s="11" t="str">
        <f t="shared" si="103"/>
        <v>IoU 25</v>
      </c>
    </row>
    <row r="221" spans="1:39" ht="15" x14ac:dyDescent="0.25">
      <c r="I221">
        <v>5.3654639861536416E-2</v>
      </c>
      <c r="J221">
        <v>0</v>
      </c>
      <c r="K221">
        <v>0.13307432486047369</v>
      </c>
      <c r="M221" s="11" t="str">
        <f t="shared" si="85"/>
        <v>IoU 25</v>
      </c>
      <c r="N221" s="11" t="str">
        <f t="shared" si="96"/>
        <v>IoU 25</v>
      </c>
      <c r="O221" s="11" t="str">
        <f t="shared" si="97"/>
        <v>IoU 25</v>
      </c>
      <c r="Q221">
        <v>0.3968679415341001</v>
      </c>
      <c r="R221">
        <v>0.76227183029107048</v>
      </c>
      <c r="S221">
        <v>0.45241066521127427</v>
      </c>
      <c r="U221" s="11" t="str">
        <f t="shared" si="88"/>
        <v>IoU 50</v>
      </c>
      <c r="V221" s="11" t="str">
        <f t="shared" si="98"/>
        <v>IoU 100</v>
      </c>
      <c r="W221" s="11" t="str">
        <f t="shared" si="99"/>
        <v>IoU 50</v>
      </c>
      <c r="Y221" s="11">
        <v>0.45697995641501693</v>
      </c>
      <c r="Z221" s="11">
        <v>0.43199234308268747</v>
      </c>
      <c r="AA221" s="11">
        <v>0.28146075963170641</v>
      </c>
      <c r="AC221" s="11" t="str">
        <f>VLOOKUP(Y221,IoU_Thresholds,2,TRUE)</f>
        <v>IoU 50</v>
      </c>
      <c r="AD221" s="11" t="str">
        <f t="shared" si="100"/>
        <v>IoU 50</v>
      </c>
      <c r="AE221" s="11" t="str">
        <f t="shared" si="101"/>
        <v>IoU 50</v>
      </c>
      <c r="AG221" s="11">
        <v>0.41969852051735368</v>
      </c>
      <c r="AH221" s="11">
        <v>0.46223636764896975</v>
      </c>
      <c r="AI221" s="11">
        <v>0.3874115171226325</v>
      </c>
      <c r="AK221" s="11" t="str">
        <f t="shared" si="93"/>
        <v>IoU 50</v>
      </c>
      <c r="AL221" s="11" t="str">
        <f t="shared" si="102"/>
        <v>IoU 50</v>
      </c>
      <c r="AM221" s="11" t="str">
        <f t="shared" si="103"/>
        <v>IoU 50</v>
      </c>
    </row>
    <row r="222" spans="1:39" ht="15" x14ac:dyDescent="0.25">
      <c r="I222">
        <v>0.85470203296463609</v>
      </c>
      <c r="J222">
        <v>0.38720473710065273</v>
      </c>
      <c r="K222">
        <v>0.33837079821112165</v>
      </c>
      <c r="M222" s="11" t="str">
        <f t="shared" si="85"/>
        <v>IoU 100</v>
      </c>
      <c r="N222" s="11" t="str">
        <f t="shared" si="96"/>
        <v>IoU 50</v>
      </c>
      <c r="O222" s="11" t="str">
        <f t="shared" si="97"/>
        <v>IoU 50</v>
      </c>
      <c r="Q222">
        <v>0</v>
      </c>
      <c r="R222">
        <v>0</v>
      </c>
      <c r="S222">
        <v>9.2528735632183903E-2</v>
      </c>
      <c r="U222" s="11" t="str">
        <f t="shared" si="88"/>
        <v>IoU 25</v>
      </c>
      <c r="V222" s="11" t="str">
        <f t="shared" si="98"/>
        <v>IoU 25</v>
      </c>
      <c r="W222" s="11" t="str">
        <f t="shared" si="99"/>
        <v>IoU 25</v>
      </c>
      <c r="Y222" s="11">
        <v>0.72858429634281197</v>
      </c>
      <c r="Z222" s="11">
        <v>0.31937146272488043</v>
      </c>
      <c r="AA222" s="11">
        <v>0.3537970171801898</v>
      </c>
      <c r="AC222" s="11" t="str">
        <f>VLOOKUP(Y222,IoU_Thresholds,2,TRUE)</f>
        <v>IoU 75</v>
      </c>
      <c r="AD222" s="11" t="str">
        <f t="shared" si="100"/>
        <v>IoU 50</v>
      </c>
      <c r="AE222" s="11" t="str">
        <f t="shared" si="101"/>
        <v>IoU 50</v>
      </c>
      <c r="AG222" s="11">
        <v>0.9056804485190133</v>
      </c>
      <c r="AH222" s="11">
        <v>0.36818429556372356</v>
      </c>
      <c r="AI222" s="11">
        <v>0.32539454806312768</v>
      </c>
      <c r="AK222" s="11" t="str">
        <f t="shared" si="93"/>
        <v>IoU 100</v>
      </c>
      <c r="AL222" s="11" t="str">
        <f t="shared" si="102"/>
        <v>IoU 50</v>
      </c>
      <c r="AM222" s="11" t="str">
        <f t="shared" si="103"/>
        <v>IoU 50</v>
      </c>
    </row>
    <row r="223" spans="1:39" ht="15" x14ac:dyDescent="0.25">
      <c r="I223">
        <v>0.91123597890690622</v>
      </c>
      <c r="J223">
        <v>0.2560279640462263</v>
      </c>
      <c r="K223">
        <v>0.2806736166800321</v>
      </c>
      <c r="M223" s="11" t="str">
        <f t="shared" si="85"/>
        <v>IoU 100</v>
      </c>
      <c r="N223" s="11" t="str">
        <f t="shared" si="96"/>
        <v>IoU 50</v>
      </c>
      <c r="O223" s="11" t="str">
        <f t="shared" si="97"/>
        <v>IoU 50</v>
      </c>
      <c r="Q223">
        <v>0.45997219241282716</v>
      </c>
      <c r="R223">
        <v>0.57464327439200713</v>
      </c>
      <c r="S223">
        <v>0.40814434843980246</v>
      </c>
      <c r="U223" s="11" t="str">
        <f t="shared" si="88"/>
        <v>IoU 50</v>
      </c>
      <c r="V223" s="11" t="str">
        <f t="shared" si="98"/>
        <v>IoU 75</v>
      </c>
      <c r="W223" s="11" t="str">
        <f t="shared" si="99"/>
        <v>IoU 50</v>
      </c>
      <c r="AG223" s="11">
        <v>0.43137897545330184</v>
      </c>
      <c r="AH223" s="11">
        <v>0.40840392883157417</v>
      </c>
      <c r="AI223" s="11">
        <v>0.34574468085106386</v>
      </c>
      <c r="AK223" s="11" t="str">
        <f t="shared" si="93"/>
        <v>IoU 50</v>
      </c>
      <c r="AL223" s="11" t="str">
        <f t="shared" si="102"/>
        <v>IoU 50</v>
      </c>
      <c r="AM223" s="11" t="str">
        <f t="shared" si="103"/>
        <v>IoU 50</v>
      </c>
    </row>
    <row r="224" spans="1:39" ht="15" x14ac:dyDescent="0.25">
      <c r="I224">
        <v>0.88997739786547148</v>
      </c>
      <c r="J224">
        <v>0.33306899286280728</v>
      </c>
      <c r="K224">
        <v>0.30639544087383253</v>
      </c>
      <c r="M224" s="11" t="str">
        <f t="shared" si="85"/>
        <v>IoU 100</v>
      </c>
      <c r="N224" s="11" t="str">
        <f t="shared" si="96"/>
        <v>IoU 50</v>
      </c>
      <c r="O224" s="11" t="str">
        <f t="shared" si="97"/>
        <v>IoU 50</v>
      </c>
      <c r="Q224">
        <v>0.40088428433142348</v>
      </c>
      <c r="R224">
        <v>0.55840577472874542</v>
      </c>
      <c r="S224">
        <v>0.45243769055845434</v>
      </c>
      <c r="U224" s="11" t="str">
        <f t="shared" si="88"/>
        <v>IoU 50</v>
      </c>
      <c r="V224" s="11" t="str">
        <f t="shared" si="98"/>
        <v>IoU 75</v>
      </c>
      <c r="W224" s="11" t="str">
        <f t="shared" si="99"/>
        <v>IoU 50</v>
      </c>
      <c r="Y224" s="11">
        <v>0.45802983759641464</v>
      </c>
      <c r="Z224" s="11">
        <v>0.40350099568738956</v>
      </c>
      <c r="AA224" s="11">
        <v>0.18821222787558328</v>
      </c>
      <c r="AC224" s="11" t="str">
        <f>VLOOKUP(Y224,IoU_Thresholds,2,TRUE)</f>
        <v>IoU 50</v>
      </c>
      <c r="AD224" s="11" t="str">
        <f t="shared" si="100"/>
        <v>IoU 50</v>
      </c>
      <c r="AE224" s="11" t="str">
        <f t="shared" si="101"/>
        <v>IoU 25</v>
      </c>
      <c r="AG224" s="11">
        <v>0.46337867116032738</v>
      </c>
      <c r="AH224" s="11">
        <v>0.39519493938732719</v>
      </c>
      <c r="AI224" s="11">
        <v>0.24316309719934101</v>
      </c>
      <c r="AK224" s="11" t="str">
        <f t="shared" si="93"/>
        <v>IoU 50</v>
      </c>
      <c r="AL224" s="11" t="str">
        <f t="shared" si="102"/>
        <v>IoU 50</v>
      </c>
      <c r="AM224" s="11" t="str">
        <f t="shared" si="103"/>
        <v>IoU 25</v>
      </c>
    </row>
    <row r="225" spans="9:39" ht="15" x14ac:dyDescent="0.25">
      <c r="I225">
        <v>0.92463124997037549</v>
      </c>
      <c r="J225">
        <v>0.39345697495155912</v>
      </c>
      <c r="K225">
        <v>0.29049627780977466</v>
      </c>
      <c r="M225" s="11" t="str">
        <f t="shared" si="85"/>
        <v>IoU 100</v>
      </c>
      <c r="N225" s="11" t="str">
        <f t="shared" si="96"/>
        <v>IoU 50</v>
      </c>
      <c r="O225" s="11" t="str">
        <f t="shared" si="97"/>
        <v>IoU 50</v>
      </c>
      <c r="Q225">
        <v>0.57853146266104694</v>
      </c>
      <c r="R225">
        <v>0.50015397354728752</v>
      </c>
      <c r="S225">
        <v>0.34026782706776731</v>
      </c>
      <c r="U225" s="11" t="str">
        <f t="shared" si="88"/>
        <v>IoU 75</v>
      </c>
      <c r="V225" s="11" t="str">
        <f t="shared" si="98"/>
        <v>IoU 75</v>
      </c>
      <c r="W225" s="11" t="str">
        <f t="shared" si="99"/>
        <v>IoU 50</v>
      </c>
      <c r="Y225" s="11">
        <v>0</v>
      </c>
      <c r="Z225" s="11">
        <v>0</v>
      </c>
      <c r="AA225" s="11">
        <v>0</v>
      </c>
      <c r="AC225" s="11" t="str">
        <f>VLOOKUP(Y225,IoU_Thresholds,2,TRUE)</f>
        <v>IoU 25</v>
      </c>
      <c r="AD225" s="11" t="str">
        <f t="shared" si="100"/>
        <v>IoU 25</v>
      </c>
      <c r="AE225" s="11" t="str">
        <f t="shared" si="101"/>
        <v>IoU 25</v>
      </c>
      <c r="AG225" s="11">
        <v>0.38316609754922903</v>
      </c>
      <c r="AH225" s="11">
        <v>0.21685374100603577</v>
      </c>
      <c r="AI225" s="11">
        <v>0.57664507416156885</v>
      </c>
      <c r="AK225" s="11" t="str">
        <f t="shared" si="93"/>
        <v>IoU 50</v>
      </c>
      <c r="AL225" s="11" t="str">
        <f t="shared" si="102"/>
        <v>IoU 25</v>
      </c>
      <c r="AM225" s="11" t="str">
        <f t="shared" si="103"/>
        <v>IoU 75</v>
      </c>
    </row>
    <row r="226" spans="9:39" ht="15" x14ac:dyDescent="0.25">
      <c r="I226">
        <v>0.75717833339783758</v>
      </c>
      <c r="J226">
        <v>0.29036967795574065</v>
      </c>
      <c r="K226">
        <v>0.32703923301912402</v>
      </c>
      <c r="M226" s="11" t="str">
        <f t="shared" si="85"/>
        <v>IoU 100</v>
      </c>
      <c r="N226" s="11" t="str">
        <f t="shared" si="96"/>
        <v>IoU 50</v>
      </c>
      <c r="O226" s="11" t="str">
        <f t="shared" si="97"/>
        <v>IoU 50</v>
      </c>
      <c r="Q226">
        <v>0.38682549906537472</v>
      </c>
      <c r="R226">
        <v>0.32867987662757769</v>
      </c>
      <c r="S226">
        <v>0.399656769565091</v>
      </c>
      <c r="U226" s="11" t="str">
        <f t="shared" si="88"/>
        <v>IoU 50</v>
      </c>
      <c r="V226" s="11" t="str">
        <f t="shared" si="98"/>
        <v>IoU 50</v>
      </c>
      <c r="W226" s="11" t="str">
        <f t="shared" si="99"/>
        <v>IoU 50</v>
      </c>
      <c r="Y226" s="11">
        <v>0.70302500475784413</v>
      </c>
      <c r="Z226" s="11">
        <v>0.32552086169075828</v>
      </c>
      <c r="AA226" s="11">
        <v>0.38836772983114448</v>
      </c>
      <c r="AC226" s="11" t="str">
        <f>VLOOKUP(Y226,IoU_Thresholds,2,TRUE)</f>
        <v>IoU 75</v>
      </c>
      <c r="AD226" s="11" t="str">
        <f t="shared" si="100"/>
        <v>IoU 50</v>
      </c>
      <c r="AE226" s="11" t="str">
        <f t="shared" si="101"/>
        <v>IoU 50</v>
      </c>
      <c r="AG226" s="11">
        <v>0.45989887913148075</v>
      </c>
      <c r="AH226" s="11">
        <v>0.24055392697873612</v>
      </c>
      <c r="AI226" s="11">
        <v>0.36599363325797984</v>
      </c>
      <c r="AK226" s="11" t="str">
        <f t="shared" si="93"/>
        <v>IoU 50</v>
      </c>
      <c r="AL226" s="11" t="str">
        <f t="shared" si="102"/>
        <v>IoU 25</v>
      </c>
      <c r="AM226" s="11" t="str">
        <f t="shared" si="103"/>
        <v>IoU 50</v>
      </c>
    </row>
    <row r="227" spans="9:39" ht="15" x14ac:dyDescent="0.25">
      <c r="I227">
        <v>0.88115508767247208</v>
      </c>
      <c r="J227">
        <v>0.41860992226187649</v>
      </c>
      <c r="K227">
        <v>0.26923076923076922</v>
      </c>
      <c r="M227" s="11" t="str">
        <f t="shared" si="85"/>
        <v>IoU 100</v>
      </c>
      <c r="N227" s="11" t="str">
        <f t="shared" si="96"/>
        <v>IoU 50</v>
      </c>
      <c r="O227" s="11" t="str">
        <f t="shared" si="97"/>
        <v>IoU 50</v>
      </c>
      <c r="Q227">
        <v>0.44666274273363421</v>
      </c>
      <c r="R227">
        <v>0.5264732026011123</v>
      </c>
      <c r="S227">
        <v>0.43432549451537372</v>
      </c>
      <c r="U227" s="11" t="str">
        <f t="shared" si="88"/>
        <v>IoU 50</v>
      </c>
      <c r="V227" s="11" t="str">
        <f t="shared" si="98"/>
        <v>IoU 75</v>
      </c>
      <c r="W227" s="11" t="str">
        <f t="shared" si="99"/>
        <v>IoU 50</v>
      </c>
      <c r="AG227" s="11">
        <v>0.40619916225711372</v>
      </c>
      <c r="AH227" s="11">
        <v>0.25277777777777777</v>
      </c>
      <c r="AI227" s="11">
        <v>0.71022096660276457</v>
      </c>
      <c r="AK227" s="11" t="str">
        <f t="shared" si="93"/>
        <v>IoU 50</v>
      </c>
      <c r="AL227" s="11" t="str">
        <f t="shared" si="102"/>
        <v>IoU 50</v>
      </c>
      <c r="AM227" s="11" t="str">
        <f t="shared" si="103"/>
        <v>IoU 75</v>
      </c>
    </row>
    <row r="228" spans="9:39" ht="15" x14ac:dyDescent="0.25">
      <c r="I228">
        <v>0.90643427638213603</v>
      </c>
      <c r="J228">
        <v>0.54493327910405098</v>
      </c>
      <c r="K228">
        <v>0.24749576205886886</v>
      </c>
      <c r="M228" s="11" t="str">
        <f t="shared" si="85"/>
        <v>IoU 100</v>
      </c>
      <c r="N228" s="11" t="str">
        <f t="shared" si="96"/>
        <v>IoU 75</v>
      </c>
      <c r="O228" s="11" t="str">
        <f t="shared" si="97"/>
        <v>IoU 25</v>
      </c>
      <c r="Q228">
        <v>0.43219983673963902</v>
      </c>
      <c r="R228">
        <v>0.35579982330996451</v>
      </c>
      <c r="S228">
        <v>0.24167995011182269</v>
      </c>
      <c r="U228" s="11" t="str">
        <f t="shared" si="88"/>
        <v>IoU 50</v>
      </c>
      <c r="V228" s="11" t="str">
        <f t="shared" si="98"/>
        <v>IoU 50</v>
      </c>
      <c r="W228" s="11" t="str">
        <f t="shared" si="99"/>
        <v>IoU 25</v>
      </c>
      <c r="Y228" s="11">
        <v>0.42988657817215603</v>
      </c>
      <c r="Z228" s="11">
        <v>0.38037475643678426</v>
      </c>
      <c r="AA228" s="11">
        <v>0.34350485373672057</v>
      </c>
      <c r="AC228" s="11" t="str">
        <f t="shared" ref="AC228:AC254" si="104">VLOOKUP(Y228,IoU_Thresholds,2,TRUE)</f>
        <v>IoU 50</v>
      </c>
      <c r="AD228" s="11" t="str">
        <f t="shared" si="100"/>
        <v>IoU 50</v>
      </c>
      <c r="AE228" s="11" t="str">
        <f t="shared" si="101"/>
        <v>IoU 50</v>
      </c>
      <c r="AG228" s="11">
        <v>0.4450168525470638</v>
      </c>
      <c r="AH228" s="11">
        <v>0.27707128522951663</v>
      </c>
      <c r="AI228" s="11">
        <v>0.20097956426279345</v>
      </c>
      <c r="AK228" s="11" t="str">
        <f t="shared" si="93"/>
        <v>IoU 50</v>
      </c>
      <c r="AL228" s="11" t="str">
        <f t="shared" si="102"/>
        <v>IoU 50</v>
      </c>
      <c r="AM228" s="11" t="str">
        <f t="shared" si="103"/>
        <v>IoU 25</v>
      </c>
    </row>
    <row r="229" spans="9:39" ht="15" x14ac:dyDescent="0.25">
      <c r="I229">
        <v>0.42507840323332785</v>
      </c>
      <c r="J229">
        <v>0.40527146526759417</v>
      </c>
      <c r="K229">
        <v>0.41852054310918407</v>
      </c>
      <c r="M229" s="11" t="str">
        <f t="shared" si="85"/>
        <v>IoU 50</v>
      </c>
      <c r="N229" s="11" t="str">
        <f t="shared" si="96"/>
        <v>IoU 50</v>
      </c>
      <c r="O229" s="11" t="str">
        <f t="shared" si="97"/>
        <v>IoU 50</v>
      </c>
      <c r="Q229">
        <v>0.20085389072818796</v>
      </c>
      <c r="R229">
        <v>0.14495247204733244</v>
      </c>
      <c r="S229">
        <v>0.1095716985931446</v>
      </c>
      <c r="U229" s="11" t="str">
        <f t="shared" si="88"/>
        <v>IoU 25</v>
      </c>
      <c r="V229" s="11" t="str">
        <f t="shared" si="98"/>
        <v>IoU 25</v>
      </c>
      <c r="W229" s="11" t="str">
        <f t="shared" si="99"/>
        <v>IoU 25</v>
      </c>
      <c r="Y229" s="11">
        <v>0.79738879748662073</v>
      </c>
      <c r="Z229" s="11">
        <v>0.4140114838464839</v>
      </c>
      <c r="AA229" s="11">
        <v>0.32264724831827807</v>
      </c>
      <c r="AC229" s="11" t="str">
        <f t="shared" si="104"/>
        <v>IoU 100</v>
      </c>
      <c r="AD229" s="11" t="str">
        <f t="shared" si="100"/>
        <v>IoU 50</v>
      </c>
      <c r="AE229" s="11" t="str">
        <f t="shared" si="101"/>
        <v>IoU 50</v>
      </c>
      <c r="AG229" s="11">
        <v>0.4469030066610622</v>
      </c>
      <c r="AH229" s="11">
        <v>0.43501451096854998</v>
      </c>
      <c r="AI229" s="11">
        <v>0.36230948355241271</v>
      </c>
      <c r="AK229" s="11" t="str">
        <f t="shared" si="93"/>
        <v>IoU 50</v>
      </c>
      <c r="AL229" s="11" t="str">
        <f t="shared" si="102"/>
        <v>IoU 50</v>
      </c>
      <c r="AM229" s="11" t="str">
        <f t="shared" si="103"/>
        <v>IoU 50</v>
      </c>
    </row>
    <row r="230" spans="9:39" ht="15" x14ac:dyDescent="0.25">
      <c r="I230">
        <v>0.90081251752839331</v>
      </c>
      <c r="J230">
        <v>0.2578303051291127</v>
      </c>
      <c r="K230">
        <v>0.29652752134117805</v>
      </c>
      <c r="M230" s="11" t="str">
        <f t="shared" si="85"/>
        <v>IoU 100</v>
      </c>
      <c r="N230" s="11" t="str">
        <f t="shared" si="96"/>
        <v>IoU 50</v>
      </c>
      <c r="O230" s="11" t="str">
        <f t="shared" si="97"/>
        <v>IoU 50</v>
      </c>
      <c r="Q230">
        <v>0.4252709057452464</v>
      </c>
      <c r="R230">
        <v>0.36303462321792263</v>
      </c>
      <c r="S230">
        <v>0.46000359955005621</v>
      </c>
      <c r="U230" s="11" t="str">
        <f t="shared" si="88"/>
        <v>IoU 50</v>
      </c>
      <c r="V230" s="11" t="str">
        <f t="shared" si="98"/>
        <v>IoU 50</v>
      </c>
      <c r="W230" s="11" t="str">
        <f t="shared" si="99"/>
        <v>IoU 50</v>
      </c>
      <c r="Y230" s="11">
        <v>0.7066592057698956</v>
      </c>
      <c r="Z230" s="11">
        <v>0.26144182682392231</v>
      </c>
      <c r="AA230" s="11">
        <v>0.32046801702902478</v>
      </c>
      <c r="AC230" s="11" t="str">
        <f t="shared" si="104"/>
        <v>IoU 75</v>
      </c>
      <c r="AD230" s="11" t="str">
        <f t="shared" si="100"/>
        <v>IoU 50</v>
      </c>
      <c r="AE230" s="11" t="str">
        <f t="shared" si="101"/>
        <v>IoU 50</v>
      </c>
      <c r="AG230" s="11">
        <v>0.46495956873315364</v>
      </c>
      <c r="AH230" s="11">
        <v>0.35137340223007885</v>
      </c>
      <c r="AI230" s="11">
        <v>0.2652482269503546</v>
      </c>
      <c r="AK230" s="11" t="str">
        <f t="shared" si="93"/>
        <v>IoU 50</v>
      </c>
      <c r="AL230" s="11" t="str">
        <f t="shared" si="102"/>
        <v>IoU 50</v>
      </c>
      <c r="AM230" s="11" t="str">
        <f t="shared" si="103"/>
        <v>IoU 50</v>
      </c>
    </row>
    <row r="231" spans="9:39" ht="15" x14ac:dyDescent="0.25">
      <c r="I231">
        <v>0.86722232372631036</v>
      </c>
      <c r="J231">
        <v>0.26971357765946197</v>
      </c>
      <c r="K231">
        <v>0.40329560481767435</v>
      </c>
      <c r="M231" s="11" t="str">
        <f t="shared" si="85"/>
        <v>IoU 100</v>
      </c>
      <c r="N231" s="11" t="str">
        <f t="shared" si="96"/>
        <v>IoU 50</v>
      </c>
      <c r="O231" s="11" t="str">
        <f t="shared" si="97"/>
        <v>IoU 50</v>
      </c>
      <c r="Q231">
        <v>0.4529070422992017</v>
      </c>
      <c r="R231">
        <v>0.48399940948300918</v>
      </c>
      <c r="S231">
        <v>0.70235491793857507</v>
      </c>
      <c r="U231" s="11" t="str">
        <f t="shared" si="88"/>
        <v>IoU 50</v>
      </c>
      <c r="V231" s="11" t="str">
        <f t="shared" si="98"/>
        <v>IoU 50</v>
      </c>
      <c r="W231" s="11" t="str">
        <f t="shared" si="99"/>
        <v>IoU 75</v>
      </c>
      <c r="Y231" s="11">
        <v>0.44074418604651161</v>
      </c>
      <c r="Z231" s="11">
        <v>0.37180064102483301</v>
      </c>
      <c r="AA231" s="11">
        <v>0.74236673064591618</v>
      </c>
      <c r="AC231" s="11" t="str">
        <f t="shared" si="104"/>
        <v>IoU 50</v>
      </c>
      <c r="AD231" s="11" t="str">
        <f t="shared" si="100"/>
        <v>IoU 50</v>
      </c>
      <c r="AE231" s="11" t="str">
        <f t="shared" si="101"/>
        <v>IoU 75</v>
      </c>
      <c r="AG231" s="11">
        <v>0.86397334602198317</v>
      </c>
      <c r="AH231" s="11">
        <v>0.50757166069593596</v>
      </c>
      <c r="AI231" s="11">
        <v>0.39140145326314235</v>
      </c>
      <c r="AK231" s="11" t="str">
        <f t="shared" si="93"/>
        <v>IoU 100</v>
      </c>
      <c r="AL231" s="11" t="str">
        <f t="shared" si="102"/>
        <v>IoU 75</v>
      </c>
      <c r="AM231" s="11" t="str">
        <f t="shared" si="103"/>
        <v>IoU 50</v>
      </c>
    </row>
    <row r="232" spans="9:39" ht="15" x14ac:dyDescent="0.25">
      <c r="I232">
        <v>0.73176327123546736</v>
      </c>
      <c r="J232">
        <v>0.40114981980435904</v>
      </c>
      <c r="K232">
        <v>0.31454058876003566</v>
      </c>
      <c r="M232" s="11" t="str">
        <f t="shared" si="85"/>
        <v>IoU 75</v>
      </c>
      <c r="N232" s="11" t="str">
        <f t="shared" si="96"/>
        <v>IoU 50</v>
      </c>
      <c r="O232" s="11" t="str">
        <f t="shared" si="97"/>
        <v>IoU 50</v>
      </c>
      <c r="Q232">
        <v>0.89145789283136634</v>
      </c>
      <c r="R232">
        <v>0.75478941190833193</v>
      </c>
      <c r="S232">
        <v>0.41221755526920423</v>
      </c>
      <c r="U232" s="11" t="str">
        <f t="shared" si="88"/>
        <v>IoU 100</v>
      </c>
      <c r="V232" s="11" t="str">
        <f t="shared" si="98"/>
        <v>IoU 100</v>
      </c>
      <c r="W232" s="11" t="str">
        <f t="shared" si="99"/>
        <v>IoU 50</v>
      </c>
      <c r="Y232" s="11">
        <v>0.36000102027505432</v>
      </c>
      <c r="Z232" s="11">
        <v>0.10358910024518497</v>
      </c>
      <c r="AA232" s="11">
        <v>0.23502991292858771</v>
      </c>
      <c r="AC232" s="11" t="str">
        <f t="shared" si="104"/>
        <v>IoU 50</v>
      </c>
      <c r="AD232" s="11" t="str">
        <f t="shared" si="100"/>
        <v>IoU 25</v>
      </c>
      <c r="AE232" s="11" t="str">
        <f t="shared" si="101"/>
        <v>IoU 25</v>
      </c>
      <c r="AG232" s="11">
        <v>0.80783414217305061</v>
      </c>
      <c r="AH232" s="11">
        <v>0.7670798588733263</v>
      </c>
      <c r="AI232" s="11">
        <v>0.41308245212203615</v>
      </c>
      <c r="AK232" s="11" t="str">
        <f t="shared" si="93"/>
        <v>IoU 100</v>
      </c>
      <c r="AL232" s="11" t="str">
        <f t="shared" si="102"/>
        <v>IoU 100</v>
      </c>
      <c r="AM232" s="11" t="str">
        <f t="shared" si="103"/>
        <v>IoU 50</v>
      </c>
    </row>
    <row r="233" spans="9:39" ht="15" x14ac:dyDescent="0.25">
      <c r="I233">
        <v>0.77128025066050898</v>
      </c>
      <c r="J233">
        <v>0.42108357872644531</v>
      </c>
      <c r="K233">
        <v>0.35434239570075021</v>
      </c>
      <c r="M233" s="11" t="str">
        <f t="shared" si="85"/>
        <v>IoU 100</v>
      </c>
      <c r="N233" s="11" t="str">
        <f t="shared" si="96"/>
        <v>IoU 50</v>
      </c>
      <c r="O233" s="11" t="str">
        <f t="shared" si="97"/>
        <v>IoU 50</v>
      </c>
      <c r="Q233">
        <v>0.39948294720095456</v>
      </c>
      <c r="R233">
        <v>0.45541718099198492</v>
      </c>
      <c r="S233">
        <v>0.42273328921244208</v>
      </c>
      <c r="U233" s="11" t="str">
        <f t="shared" si="88"/>
        <v>IoU 50</v>
      </c>
      <c r="V233" s="11" t="str">
        <f t="shared" si="98"/>
        <v>IoU 50</v>
      </c>
      <c r="W233" s="11" t="str">
        <f t="shared" si="99"/>
        <v>IoU 50</v>
      </c>
      <c r="Y233" s="11">
        <v>0.7980776194933209</v>
      </c>
      <c r="Z233" s="11">
        <v>0.39990459202839096</v>
      </c>
      <c r="AA233" s="11">
        <v>0.3028943875900848</v>
      </c>
      <c r="AC233" s="11" t="str">
        <f t="shared" si="104"/>
        <v>IoU 100</v>
      </c>
      <c r="AD233" s="11" t="str">
        <f t="shared" si="100"/>
        <v>IoU 50</v>
      </c>
      <c r="AE233" s="11" t="str">
        <f t="shared" si="101"/>
        <v>IoU 50</v>
      </c>
      <c r="AG233" s="11">
        <v>0.40841994111996993</v>
      </c>
      <c r="AH233" s="11">
        <v>0.43252833179373806</v>
      </c>
      <c r="AI233" s="11">
        <v>0.35267979763102342</v>
      </c>
      <c r="AK233" s="11" t="str">
        <f t="shared" si="93"/>
        <v>IoU 50</v>
      </c>
      <c r="AL233" s="11" t="str">
        <f t="shared" si="102"/>
        <v>IoU 50</v>
      </c>
      <c r="AM233" s="11" t="str">
        <f t="shared" si="103"/>
        <v>IoU 50</v>
      </c>
    </row>
    <row r="234" spans="9:39" ht="15" x14ac:dyDescent="0.25">
      <c r="I234">
        <v>0.59742791997864764</v>
      </c>
      <c r="J234">
        <v>0.36770176476552313</v>
      </c>
      <c r="K234">
        <v>0.15760601553483136</v>
      </c>
      <c r="M234" s="11" t="str">
        <f t="shared" si="85"/>
        <v>IoU 75</v>
      </c>
      <c r="N234" s="11" t="str">
        <f t="shared" si="96"/>
        <v>IoU 50</v>
      </c>
      <c r="O234" s="11" t="str">
        <f t="shared" si="97"/>
        <v>IoU 25</v>
      </c>
      <c r="Q234">
        <v>7.3979228908806371E-2</v>
      </c>
      <c r="R234">
        <v>0</v>
      </c>
      <c r="S234">
        <v>0.10642411575598333</v>
      </c>
      <c r="U234" s="11" t="str">
        <f t="shared" si="88"/>
        <v>IoU 25</v>
      </c>
      <c r="V234" s="11" t="str">
        <f t="shared" si="98"/>
        <v>IoU 25</v>
      </c>
      <c r="W234" s="11" t="str">
        <f t="shared" si="99"/>
        <v>IoU 25</v>
      </c>
      <c r="Y234" s="11">
        <v>0.34331003057270265</v>
      </c>
      <c r="Z234" s="11">
        <v>0.41925315227934046</v>
      </c>
      <c r="AA234" s="11">
        <v>0.34607142857142859</v>
      </c>
      <c r="AC234" s="11" t="str">
        <f t="shared" si="104"/>
        <v>IoU 50</v>
      </c>
      <c r="AD234" s="11" t="str">
        <f t="shared" si="100"/>
        <v>IoU 50</v>
      </c>
      <c r="AE234" s="11" t="str">
        <f t="shared" si="101"/>
        <v>IoU 50</v>
      </c>
      <c r="AG234" s="11">
        <v>0</v>
      </c>
      <c r="AH234" s="11">
        <v>0</v>
      </c>
      <c r="AI234" s="11">
        <v>2.8597479062934889E-2</v>
      </c>
      <c r="AK234" s="11" t="str">
        <f t="shared" si="93"/>
        <v>IoU 25</v>
      </c>
      <c r="AL234" s="11" t="str">
        <f t="shared" si="102"/>
        <v>IoU 25</v>
      </c>
      <c r="AM234" s="11" t="str">
        <f t="shared" si="103"/>
        <v>IoU 25</v>
      </c>
    </row>
    <row r="235" spans="9:39" ht="15" x14ac:dyDescent="0.25">
      <c r="I235">
        <v>0.25124082270875203</v>
      </c>
      <c r="J235">
        <v>0.11012751286712176</v>
      </c>
      <c r="K235">
        <v>6.0738906365035809E-2</v>
      </c>
      <c r="M235" s="11" t="str">
        <f t="shared" si="85"/>
        <v>IoU 50</v>
      </c>
      <c r="N235" s="11" t="str">
        <f t="shared" si="96"/>
        <v>IoU 25</v>
      </c>
      <c r="O235" s="11" t="str">
        <f t="shared" si="97"/>
        <v>IoU 25</v>
      </c>
      <c r="Q235">
        <v>0.69534203424710428</v>
      </c>
      <c r="R235">
        <v>0.36101483477666935</v>
      </c>
      <c r="S235">
        <v>0.34264859344268112</v>
      </c>
      <c r="U235" s="11" t="str">
        <f t="shared" si="88"/>
        <v>IoU 75</v>
      </c>
      <c r="V235" s="11" t="str">
        <f t="shared" si="98"/>
        <v>IoU 50</v>
      </c>
      <c r="W235" s="11" t="str">
        <f t="shared" si="99"/>
        <v>IoU 50</v>
      </c>
      <c r="Y235" s="11">
        <v>0</v>
      </c>
      <c r="Z235" s="11">
        <v>6.6821714220886036E-2</v>
      </c>
      <c r="AA235" s="11">
        <v>0</v>
      </c>
      <c r="AC235" s="11" t="str">
        <f t="shared" si="104"/>
        <v>IoU 25</v>
      </c>
      <c r="AD235" s="11" t="str">
        <f t="shared" si="100"/>
        <v>IoU 25</v>
      </c>
      <c r="AE235" s="11" t="str">
        <f t="shared" si="101"/>
        <v>IoU 25</v>
      </c>
      <c r="AG235" s="11">
        <v>0.85756829199241924</v>
      </c>
      <c r="AH235" s="11">
        <v>0.37515033905507233</v>
      </c>
      <c r="AI235" s="11">
        <v>0.17613865376864168</v>
      </c>
      <c r="AK235" s="11" t="str">
        <f t="shared" si="93"/>
        <v>IoU 100</v>
      </c>
      <c r="AL235" s="11" t="str">
        <f t="shared" si="102"/>
        <v>IoU 50</v>
      </c>
      <c r="AM235" s="11" t="str">
        <f t="shared" si="103"/>
        <v>IoU 25</v>
      </c>
    </row>
    <row r="236" spans="9:39" ht="15" x14ac:dyDescent="0.25">
      <c r="I236">
        <v>0.82412389263157126</v>
      </c>
      <c r="J236">
        <v>0.28138864241348716</v>
      </c>
      <c r="K236">
        <v>0.2588901914810473</v>
      </c>
      <c r="M236" s="11" t="str">
        <f t="shared" si="85"/>
        <v>IoU 100</v>
      </c>
      <c r="N236" s="11" t="str">
        <f t="shared" si="96"/>
        <v>IoU 50</v>
      </c>
      <c r="O236" s="11" t="str">
        <f t="shared" si="97"/>
        <v>IoU 50</v>
      </c>
      <c r="Q236">
        <v>0.12844951633223839</v>
      </c>
      <c r="R236">
        <v>0.31079005045964442</v>
      </c>
      <c r="S236">
        <v>0</v>
      </c>
      <c r="U236" s="11" t="str">
        <f t="shared" si="88"/>
        <v>IoU 25</v>
      </c>
      <c r="V236" s="11" t="str">
        <f t="shared" si="98"/>
        <v>IoU 50</v>
      </c>
      <c r="W236" s="11" t="str">
        <f t="shared" si="99"/>
        <v>IoU 25</v>
      </c>
      <c r="Y236" s="11">
        <v>0.72872208285206974</v>
      </c>
      <c r="Z236" s="11">
        <v>0.28564834262559957</v>
      </c>
      <c r="AA236" s="11">
        <v>0.37499276741049442</v>
      </c>
      <c r="AC236" s="11" t="str">
        <f t="shared" si="104"/>
        <v>IoU 75</v>
      </c>
      <c r="AD236" s="11" t="str">
        <f t="shared" si="100"/>
        <v>IoU 50</v>
      </c>
      <c r="AE236" s="11" t="str">
        <f t="shared" si="101"/>
        <v>IoU 50</v>
      </c>
      <c r="AG236" s="11">
        <v>0.85184528700202433</v>
      </c>
      <c r="AH236" s="11">
        <v>0.46854349028958003</v>
      </c>
      <c r="AI236" s="11">
        <v>0.33858933223881998</v>
      </c>
      <c r="AK236" s="11" t="str">
        <f t="shared" si="93"/>
        <v>IoU 100</v>
      </c>
      <c r="AL236" s="11" t="str">
        <f t="shared" si="102"/>
        <v>IoU 50</v>
      </c>
      <c r="AM236" s="11" t="str">
        <f t="shared" si="103"/>
        <v>IoU 50</v>
      </c>
    </row>
    <row r="237" spans="9:39" ht="15" x14ac:dyDescent="0.25">
      <c r="I237">
        <v>0.77304149454753146</v>
      </c>
      <c r="J237">
        <v>0.35609454154748599</v>
      </c>
      <c r="K237">
        <v>0.33182543906333156</v>
      </c>
      <c r="M237" s="11" t="str">
        <f t="shared" si="85"/>
        <v>IoU 100</v>
      </c>
      <c r="N237" s="11" t="str">
        <f t="shared" si="96"/>
        <v>IoU 50</v>
      </c>
      <c r="O237" s="11" t="str">
        <f t="shared" si="97"/>
        <v>IoU 50</v>
      </c>
      <c r="Q237">
        <v>0.41147745194356944</v>
      </c>
      <c r="R237">
        <v>0.26410454040048775</v>
      </c>
      <c r="S237">
        <v>0.25291134741311139</v>
      </c>
      <c r="U237" s="11" t="str">
        <f t="shared" si="88"/>
        <v>IoU 50</v>
      </c>
      <c r="V237" s="11" t="str">
        <f t="shared" si="98"/>
        <v>IoU 50</v>
      </c>
      <c r="W237" s="11" t="str">
        <f t="shared" si="99"/>
        <v>IoU 50</v>
      </c>
      <c r="Y237" s="11">
        <v>0.41178429960388907</v>
      </c>
      <c r="Z237" s="11">
        <v>0.38105960264900662</v>
      </c>
      <c r="AA237" s="11">
        <v>0.32125389061805248</v>
      </c>
      <c r="AC237" s="11" t="str">
        <f t="shared" si="104"/>
        <v>IoU 50</v>
      </c>
      <c r="AD237" s="11" t="str">
        <f t="shared" si="100"/>
        <v>IoU 50</v>
      </c>
      <c r="AE237" s="11" t="str">
        <f t="shared" si="101"/>
        <v>IoU 50</v>
      </c>
      <c r="AG237" s="11">
        <v>0.7640088661815978</v>
      </c>
      <c r="AH237" s="11">
        <v>0.42159365013887967</v>
      </c>
      <c r="AI237" s="11">
        <v>0.24326553051126992</v>
      </c>
      <c r="AK237" s="11" t="str">
        <f t="shared" si="93"/>
        <v>IoU 100</v>
      </c>
      <c r="AL237" s="11" t="str">
        <f t="shared" si="102"/>
        <v>IoU 50</v>
      </c>
      <c r="AM237" s="11" t="str">
        <f t="shared" si="103"/>
        <v>IoU 25</v>
      </c>
    </row>
    <row r="238" spans="9:39" ht="15" x14ac:dyDescent="0.25">
      <c r="I238">
        <v>0.67592584778261344</v>
      </c>
      <c r="J238">
        <v>0.49402859156348045</v>
      </c>
      <c r="K238">
        <v>0.47697396057977648</v>
      </c>
      <c r="M238" s="11" t="str">
        <f t="shared" si="85"/>
        <v>IoU 75</v>
      </c>
      <c r="N238" s="11" t="str">
        <f t="shared" si="96"/>
        <v>IoU 50</v>
      </c>
      <c r="O238" s="11" t="str">
        <f t="shared" si="97"/>
        <v>IoU 50</v>
      </c>
      <c r="Q238">
        <v>0.37655680822313037</v>
      </c>
      <c r="R238">
        <v>0.71721884245397205</v>
      </c>
      <c r="S238">
        <v>0.48003033077726337</v>
      </c>
      <c r="U238" s="11" t="str">
        <f t="shared" si="88"/>
        <v>IoU 50</v>
      </c>
      <c r="V238" s="11" t="str">
        <f t="shared" si="98"/>
        <v>IoU 75</v>
      </c>
      <c r="W238" s="11" t="str">
        <f t="shared" si="99"/>
        <v>IoU 50</v>
      </c>
      <c r="Y238" s="11">
        <v>0.89088769177055271</v>
      </c>
      <c r="Z238" s="11">
        <v>0.41455547427337447</v>
      </c>
      <c r="AA238" s="11">
        <v>0.3422853232979815</v>
      </c>
      <c r="AC238" s="11" t="str">
        <f t="shared" si="104"/>
        <v>IoU 100</v>
      </c>
      <c r="AD238" s="11" t="str">
        <f t="shared" si="100"/>
        <v>IoU 50</v>
      </c>
      <c r="AE238" s="11" t="str">
        <f t="shared" si="101"/>
        <v>IoU 50</v>
      </c>
      <c r="AG238" s="11">
        <v>0.75645381884064899</v>
      </c>
      <c r="AH238" s="11">
        <v>0.71867268149597918</v>
      </c>
      <c r="AI238" s="11">
        <v>0.3203192407247627</v>
      </c>
      <c r="AK238" s="11" t="str">
        <f t="shared" si="93"/>
        <v>IoU 100</v>
      </c>
      <c r="AL238" s="11" t="str">
        <f t="shared" si="102"/>
        <v>IoU 75</v>
      </c>
      <c r="AM238" s="11" t="str">
        <f t="shared" si="103"/>
        <v>IoU 50</v>
      </c>
    </row>
    <row r="239" spans="9:39" ht="15" x14ac:dyDescent="0.25">
      <c r="I239">
        <v>0.88043739878916816</v>
      </c>
      <c r="J239">
        <v>0.65133150263736372</v>
      </c>
      <c r="K239">
        <v>0.61045461785568367</v>
      </c>
      <c r="M239" s="11" t="str">
        <f t="shared" si="85"/>
        <v>IoU 100</v>
      </c>
      <c r="N239" s="11" t="str">
        <f t="shared" si="96"/>
        <v>IoU 75</v>
      </c>
      <c r="O239" s="11" t="str">
        <f t="shared" si="97"/>
        <v>IoU 75</v>
      </c>
      <c r="Q239">
        <v>0</v>
      </c>
      <c r="R239">
        <v>0.12759272728548668</v>
      </c>
      <c r="S239">
        <v>0</v>
      </c>
      <c r="U239" s="11" t="str">
        <f t="shared" si="88"/>
        <v>IoU 25</v>
      </c>
      <c r="V239" s="11" t="str">
        <f t="shared" si="98"/>
        <v>IoU 25</v>
      </c>
      <c r="W239" s="11" t="str">
        <f t="shared" si="99"/>
        <v>IoU 25</v>
      </c>
      <c r="Y239" s="11">
        <v>0.43166211470932503</v>
      </c>
      <c r="Z239" s="11">
        <v>0.36713286713286714</v>
      </c>
      <c r="AA239" s="11">
        <v>0.3311160384331116</v>
      </c>
      <c r="AC239" s="11" t="str">
        <f t="shared" si="104"/>
        <v>IoU 50</v>
      </c>
      <c r="AD239" s="11" t="str">
        <f t="shared" si="100"/>
        <v>IoU 50</v>
      </c>
      <c r="AE239" s="11" t="str">
        <f t="shared" si="101"/>
        <v>IoU 50</v>
      </c>
      <c r="AG239" s="11">
        <v>0.8104943887153444</v>
      </c>
      <c r="AH239" s="11">
        <v>0.27760051052967455</v>
      </c>
      <c r="AI239" s="11">
        <v>0.3002832861189802</v>
      </c>
      <c r="AK239" s="11" t="str">
        <f t="shared" si="93"/>
        <v>IoU 100</v>
      </c>
      <c r="AL239" s="11" t="str">
        <f t="shared" si="102"/>
        <v>IoU 50</v>
      </c>
      <c r="AM239" s="11" t="str">
        <f t="shared" si="103"/>
        <v>IoU 50</v>
      </c>
    </row>
    <row r="240" spans="9:39" ht="15" x14ac:dyDescent="0.25">
      <c r="I240">
        <v>0.86511699223680227</v>
      </c>
      <c r="J240">
        <v>0.37519359834796079</v>
      </c>
      <c r="K240">
        <v>0.42564892212934446</v>
      </c>
      <c r="M240" s="11" t="str">
        <f t="shared" si="85"/>
        <v>IoU 100</v>
      </c>
      <c r="N240" s="11" t="str">
        <f t="shared" si="96"/>
        <v>IoU 50</v>
      </c>
      <c r="O240" s="11" t="str">
        <f t="shared" si="97"/>
        <v>IoU 50</v>
      </c>
      <c r="Q240">
        <v>0.58123326203944148</v>
      </c>
      <c r="R240">
        <v>0.50011339048436065</v>
      </c>
      <c r="S240">
        <v>0.65904065196739881</v>
      </c>
      <c r="U240" s="11" t="str">
        <f t="shared" si="88"/>
        <v>IoU 75</v>
      </c>
      <c r="V240" s="11" t="str">
        <f t="shared" si="98"/>
        <v>IoU 75</v>
      </c>
      <c r="W240" s="11" t="str">
        <f t="shared" si="99"/>
        <v>IoU 75</v>
      </c>
      <c r="Y240" s="11">
        <v>0.85527628806373246</v>
      </c>
      <c r="Z240" s="11">
        <v>0.47446020892899687</v>
      </c>
      <c r="AA240" s="11">
        <v>0.20338983050847459</v>
      </c>
      <c r="AC240" s="11" t="str">
        <f t="shared" si="104"/>
        <v>IoU 100</v>
      </c>
      <c r="AD240" s="11" t="str">
        <f t="shared" si="100"/>
        <v>IoU 50</v>
      </c>
      <c r="AE240" s="11" t="str">
        <f t="shared" si="101"/>
        <v>IoU 25</v>
      </c>
      <c r="AG240" s="11">
        <v>0.3940807591805891</v>
      </c>
      <c r="AH240" s="11">
        <v>0.32604737097713521</v>
      </c>
      <c r="AI240" s="11">
        <v>0.32514199954046269</v>
      </c>
      <c r="AK240" s="11" t="str">
        <f t="shared" si="93"/>
        <v>IoU 50</v>
      </c>
      <c r="AL240" s="11" t="str">
        <f t="shared" si="102"/>
        <v>IoU 50</v>
      </c>
      <c r="AM240" s="11" t="str">
        <f t="shared" si="103"/>
        <v>IoU 50</v>
      </c>
    </row>
    <row r="241" spans="9:39" ht="15" x14ac:dyDescent="0.25">
      <c r="I241">
        <v>0.7638834813175519</v>
      </c>
      <c r="J241">
        <v>0.43092096839583777</v>
      </c>
      <c r="K241">
        <v>0.48185923765302507</v>
      </c>
      <c r="M241" s="11" t="str">
        <f t="shared" si="85"/>
        <v>IoU 100</v>
      </c>
      <c r="N241" s="11" t="str">
        <f t="shared" si="96"/>
        <v>IoU 50</v>
      </c>
      <c r="O241" s="11" t="str">
        <f t="shared" si="97"/>
        <v>IoU 50</v>
      </c>
      <c r="Q241">
        <v>0.39131175719956851</v>
      </c>
      <c r="R241">
        <v>0.50305452764765546</v>
      </c>
      <c r="S241">
        <v>0.39387917732897049</v>
      </c>
      <c r="U241" s="11" t="str">
        <f t="shared" si="88"/>
        <v>IoU 50</v>
      </c>
      <c r="V241" s="11" t="str">
        <f t="shared" si="98"/>
        <v>IoU 75</v>
      </c>
      <c r="W241" s="11" t="str">
        <f t="shared" si="99"/>
        <v>IoU 50</v>
      </c>
      <c r="Y241" s="11">
        <v>0.385946819778137</v>
      </c>
      <c r="Z241" s="11">
        <v>0.34693877551020408</v>
      </c>
      <c r="AA241" s="11">
        <v>0.43019513176423257</v>
      </c>
      <c r="AC241" s="11" t="str">
        <f t="shared" si="104"/>
        <v>IoU 50</v>
      </c>
      <c r="AD241" s="11" t="str">
        <f t="shared" si="100"/>
        <v>IoU 50</v>
      </c>
      <c r="AE241" s="11" t="str">
        <f t="shared" si="101"/>
        <v>IoU 50</v>
      </c>
      <c r="AG241" s="11">
        <v>0.42449765371194803</v>
      </c>
      <c r="AH241" s="11">
        <v>0.36455247907276239</v>
      </c>
      <c r="AI241" s="11">
        <v>0.20250759878419453</v>
      </c>
      <c r="AK241" s="11" t="str">
        <f t="shared" si="93"/>
        <v>IoU 50</v>
      </c>
      <c r="AL241" s="11" t="str">
        <f t="shared" si="102"/>
        <v>IoU 50</v>
      </c>
      <c r="AM241" s="11" t="str">
        <f t="shared" si="103"/>
        <v>IoU 25</v>
      </c>
    </row>
    <row r="242" spans="9:39" ht="15" x14ac:dyDescent="0.25">
      <c r="I242">
        <v>0.42531553447696119</v>
      </c>
      <c r="J242">
        <v>0.26770915604936135</v>
      </c>
      <c r="K242">
        <v>0.29079870485114612</v>
      </c>
      <c r="M242" s="11" t="str">
        <f t="shared" si="85"/>
        <v>IoU 50</v>
      </c>
      <c r="N242" s="11" t="str">
        <f t="shared" si="96"/>
        <v>IoU 50</v>
      </c>
      <c r="O242" s="11" t="str">
        <f t="shared" si="97"/>
        <v>IoU 50</v>
      </c>
      <c r="Q242">
        <v>0.56306813776477282</v>
      </c>
      <c r="R242">
        <v>0.45944384010096939</v>
      </c>
      <c r="S242">
        <v>0.29561450320480848</v>
      </c>
      <c r="U242" s="11" t="str">
        <f t="shared" si="88"/>
        <v>IoU 75</v>
      </c>
      <c r="V242" s="11" t="str">
        <f t="shared" si="98"/>
        <v>IoU 50</v>
      </c>
      <c r="W242" s="11" t="str">
        <f t="shared" si="99"/>
        <v>IoU 50</v>
      </c>
      <c r="Y242" s="11">
        <v>0.39288514642211841</v>
      </c>
      <c r="Z242" s="11">
        <v>0.46400200650994416</v>
      </c>
      <c r="AA242" s="11">
        <v>0.32153279066195667</v>
      </c>
      <c r="AC242" s="11" t="str">
        <f t="shared" si="104"/>
        <v>IoU 50</v>
      </c>
      <c r="AD242" s="11" t="str">
        <f t="shared" si="100"/>
        <v>IoU 50</v>
      </c>
      <c r="AE242" s="11" t="str">
        <f t="shared" si="101"/>
        <v>IoU 50</v>
      </c>
      <c r="AG242" s="11">
        <v>0.78137129125366689</v>
      </c>
      <c r="AH242" s="11">
        <v>0.33333333333333331</v>
      </c>
      <c r="AI242" s="11">
        <v>0.24003516998827668</v>
      </c>
      <c r="AK242" s="11" t="str">
        <f t="shared" si="93"/>
        <v>IoU 100</v>
      </c>
      <c r="AL242" s="11" t="str">
        <f t="shared" si="102"/>
        <v>IoU 50</v>
      </c>
      <c r="AM242" s="11" t="str">
        <f t="shared" si="103"/>
        <v>IoU 25</v>
      </c>
    </row>
    <row r="243" spans="9:39" ht="15" x14ac:dyDescent="0.25">
      <c r="I243">
        <v>0.74357511892801154</v>
      </c>
      <c r="J243">
        <v>0.35561908950956672</v>
      </c>
      <c r="K243">
        <v>0.31107600199567603</v>
      </c>
      <c r="M243" s="11" t="str">
        <f t="shared" si="85"/>
        <v>IoU 75</v>
      </c>
      <c r="N243" s="11" t="str">
        <f t="shared" si="96"/>
        <v>IoU 50</v>
      </c>
      <c r="O243" s="11" t="str">
        <f t="shared" si="97"/>
        <v>IoU 50</v>
      </c>
      <c r="Q243">
        <v>0.39114504924455407</v>
      </c>
      <c r="R243">
        <v>0.38374453946963638</v>
      </c>
      <c r="S243">
        <v>0.38426966292134829</v>
      </c>
      <c r="U243" s="11" t="str">
        <f t="shared" si="88"/>
        <v>IoU 50</v>
      </c>
      <c r="V243" s="11" t="str">
        <f t="shared" si="98"/>
        <v>IoU 50</v>
      </c>
      <c r="W243" s="11" t="str">
        <f t="shared" si="99"/>
        <v>IoU 50</v>
      </c>
      <c r="Y243" s="11">
        <v>0.40856246539952018</v>
      </c>
      <c r="Z243" s="11">
        <v>0.3227471566054243</v>
      </c>
      <c r="AA243" s="11">
        <v>0.35212910227673966</v>
      </c>
      <c r="AC243" s="11" t="str">
        <f t="shared" si="104"/>
        <v>IoU 50</v>
      </c>
      <c r="AD243" s="11" t="str">
        <f t="shared" si="100"/>
        <v>IoU 50</v>
      </c>
      <c r="AE243" s="11" t="str">
        <f t="shared" si="101"/>
        <v>IoU 50</v>
      </c>
      <c r="AG243" s="11">
        <v>0</v>
      </c>
      <c r="AH243" s="11">
        <v>0</v>
      </c>
      <c r="AI243" s="11">
        <v>0.36247139588100685</v>
      </c>
      <c r="AK243" s="11" t="str">
        <f t="shared" si="93"/>
        <v>IoU 25</v>
      </c>
      <c r="AL243" s="11" t="str">
        <f t="shared" si="102"/>
        <v>IoU 25</v>
      </c>
      <c r="AM243" s="11" t="str">
        <f t="shared" si="103"/>
        <v>IoU 50</v>
      </c>
    </row>
    <row r="244" spans="9:39" ht="15" x14ac:dyDescent="0.25">
      <c r="I244">
        <v>0.3956415702934466</v>
      </c>
      <c r="J244">
        <v>0.30438694199297406</v>
      </c>
      <c r="K244">
        <v>0.38224414978114096</v>
      </c>
      <c r="M244" s="11" t="str">
        <f t="shared" si="85"/>
        <v>IoU 50</v>
      </c>
      <c r="N244" s="11" t="str">
        <f t="shared" si="96"/>
        <v>IoU 50</v>
      </c>
      <c r="O244" s="11" t="str">
        <f t="shared" si="97"/>
        <v>IoU 50</v>
      </c>
      <c r="Q244">
        <v>0.39158845493995359</v>
      </c>
      <c r="R244">
        <v>0.66126596419636052</v>
      </c>
      <c r="S244">
        <v>0.34129083640900204</v>
      </c>
      <c r="U244" s="11" t="str">
        <f t="shared" si="88"/>
        <v>IoU 50</v>
      </c>
      <c r="V244" s="11" t="str">
        <f t="shared" si="98"/>
        <v>IoU 75</v>
      </c>
      <c r="W244" s="11" t="str">
        <f t="shared" si="99"/>
        <v>IoU 50</v>
      </c>
      <c r="Y244" s="11">
        <v>0</v>
      </c>
      <c r="Z244" s="11">
        <v>0.17002634279409651</v>
      </c>
      <c r="AA244" s="11">
        <v>0</v>
      </c>
      <c r="AC244" s="11" t="str">
        <f t="shared" si="104"/>
        <v>IoU 25</v>
      </c>
      <c r="AD244" s="11" t="str">
        <f t="shared" si="100"/>
        <v>IoU 25</v>
      </c>
      <c r="AE244" s="11" t="str">
        <f t="shared" si="101"/>
        <v>IoU 25</v>
      </c>
      <c r="AG244" s="11">
        <v>0.42027847571189281</v>
      </c>
      <c r="AH244" s="11">
        <v>0.32900626678603401</v>
      </c>
      <c r="AI244" s="11">
        <v>0.34712482468443195</v>
      </c>
      <c r="AK244" s="11" t="str">
        <f t="shared" si="93"/>
        <v>IoU 50</v>
      </c>
      <c r="AL244" s="11" t="str">
        <f t="shared" si="102"/>
        <v>IoU 50</v>
      </c>
      <c r="AM244" s="11" t="str">
        <f t="shared" si="103"/>
        <v>IoU 50</v>
      </c>
    </row>
    <row r="245" spans="9:39" ht="15" x14ac:dyDescent="0.25">
      <c r="I245"/>
      <c r="J245"/>
      <c r="K245"/>
      <c r="Q245">
        <v>0.16858030566575377</v>
      </c>
      <c r="R245">
        <v>0</v>
      </c>
      <c r="S245">
        <v>4.9053356282271948E-2</v>
      </c>
      <c r="U245" s="11" t="str">
        <f t="shared" si="88"/>
        <v>IoU 25</v>
      </c>
      <c r="V245" s="11" t="str">
        <f t="shared" si="98"/>
        <v>IoU 25</v>
      </c>
      <c r="W245" s="11" t="str">
        <f t="shared" si="99"/>
        <v>IoU 25</v>
      </c>
      <c r="Y245" s="11">
        <v>0.38958355503529496</v>
      </c>
      <c r="Z245" s="11">
        <v>0.38714694520049114</v>
      </c>
      <c r="AA245" s="11">
        <v>0.27608047690014903</v>
      </c>
      <c r="AC245" s="11" t="str">
        <f t="shared" si="104"/>
        <v>IoU 50</v>
      </c>
      <c r="AD245" s="11" t="str">
        <f t="shared" si="100"/>
        <v>IoU 50</v>
      </c>
      <c r="AE245" s="11" t="str">
        <f t="shared" si="101"/>
        <v>IoU 50</v>
      </c>
      <c r="AG245" s="11">
        <v>0.43307958063215196</v>
      </c>
      <c r="AH245" s="11">
        <v>0.77051861579615388</v>
      </c>
      <c r="AI245" s="11">
        <v>0.35516115176821539</v>
      </c>
      <c r="AK245" s="11" t="str">
        <f t="shared" si="93"/>
        <v>IoU 50</v>
      </c>
      <c r="AL245" s="11" t="str">
        <f t="shared" si="102"/>
        <v>IoU 100</v>
      </c>
      <c r="AM245" s="11" t="str">
        <f t="shared" si="103"/>
        <v>IoU 50</v>
      </c>
    </row>
    <row r="246" spans="9:39" ht="15" x14ac:dyDescent="0.25">
      <c r="I246">
        <v>0.41551415358816512</v>
      </c>
      <c r="J246">
        <v>0.6136181433629313</v>
      </c>
      <c r="K246">
        <v>0.45408151242751893</v>
      </c>
      <c r="M246" s="11" t="str">
        <f>VLOOKUP(I246,IoU_Thresholds,2,TRUE)</f>
        <v>IoU 50</v>
      </c>
      <c r="N246" s="11" t="str">
        <f t="shared" si="96"/>
        <v>IoU 75</v>
      </c>
      <c r="O246" s="11" t="str">
        <f t="shared" si="97"/>
        <v>IoU 50</v>
      </c>
      <c r="Q246">
        <v>0</v>
      </c>
      <c r="R246">
        <v>0</v>
      </c>
      <c r="S246">
        <v>0</v>
      </c>
      <c r="U246" s="11" t="str">
        <f t="shared" si="88"/>
        <v>IoU 25</v>
      </c>
      <c r="V246" s="11" t="str">
        <f t="shared" si="98"/>
        <v>IoU 25</v>
      </c>
      <c r="W246" s="11" t="str">
        <f t="shared" si="99"/>
        <v>IoU 25</v>
      </c>
      <c r="Y246" s="11">
        <v>0.76418327126301455</v>
      </c>
      <c r="Z246" s="11">
        <v>0.32729624838292365</v>
      </c>
      <c r="AA246" s="11">
        <v>0.28902765388046386</v>
      </c>
      <c r="AC246" s="11" t="str">
        <f t="shared" si="104"/>
        <v>IoU 100</v>
      </c>
      <c r="AD246" s="11" t="str">
        <f t="shared" si="100"/>
        <v>IoU 50</v>
      </c>
      <c r="AE246" s="11" t="str">
        <f t="shared" si="101"/>
        <v>IoU 50</v>
      </c>
      <c r="AG246" s="11">
        <v>0.89330097555352861</v>
      </c>
      <c r="AH246" s="11">
        <v>0.5001462498103546</v>
      </c>
      <c r="AI246" s="11">
        <v>0.31483877147769562</v>
      </c>
      <c r="AK246" s="11" t="str">
        <f t="shared" si="93"/>
        <v>IoU 100</v>
      </c>
      <c r="AL246" s="11" t="str">
        <f t="shared" si="102"/>
        <v>IoU 75</v>
      </c>
      <c r="AM246" s="11" t="str">
        <f t="shared" si="103"/>
        <v>IoU 50</v>
      </c>
    </row>
    <row r="247" spans="9:39" ht="15" x14ac:dyDescent="0.25">
      <c r="I247">
        <v>0.81929543805810634</v>
      </c>
      <c r="J247">
        <v>0.6181320233909271</v>
      </c>
      <c r="K247">
        <v>0.76400291911120433</v>
      </c>
      <c r="M247" s="11" t="str">
        <f>VLOOKUP(I247,IoU_Thresholds,2,TRUE)</f>
        <v>IoU 100</v>
      </c>
      <c r="N247" s="11" t="str">
        <f t="shared" si="96"/>
        <v>IoU 75</v>
      </c>
      <c r="O247" s="11" t="str">
        <f t="shared" si="97"/>
        <v>IoU 100</v>
      </c>
      <c r="Q247">
        <v>0.43203068808439221</v>
      </c>
      <c r="R247">
        <v>0.30980751604032997</v>
      </c>
      <c r="S247">
        <v>0.30932203389830509</v>
      </c>
      <c r="U247" s="11" t="str">
        <f t="shared" si="88"/>
        <v>IoU 50</v>
      </c>
      <c r="V247" s="11" t="str">
        <f t="shared" si="98"/>
        <v>IoU 50</v>
      </c>
      <c r="W247" s="11" t="str">
        <f t="shared" si="99"/>
        <v>IoU 50</v>
      </c>
      <c r="Y247" s="11">
        <v>0.42381064995467266</v>
      </c>
      <c r="Z247" s="11">
        <v>0.46723063016358674</v>
      </c>
      <c r="AA247" s="11">
        <v>0.26493256262042392</v>
      </c>
      <c r="AC247" s="11" t="str">
        <f t="shared" si="104"/>
        <v>IoU 50</v>
      </c>
      <c r="AD247" s="11" t="str">
        <f t="shared" si="100"/>
        <v>IoU 50</v>
      </c>
      <c r="AE247" s="11" t="str">
        <f t="shared" si="101"/>
        <v>IoU 50</v>
      </c>
      <c r="AG247" s="11">
        <v>0.84167975783536297</v>
      </c>
      <c r="AH247" s="11">
        <v>0.59857607815498903</v>
      </c>
      <c r="AI247" s="11">
        <v>0.45735565600808775</v>
      </c>
      <c r="AK247" s="11" t="str">
        <f t="shared" si="93"/>
        <v>IoU 100</v>
      </c>
      <c r="AL247" s="11" t="str">
        <f t="shared" si="102"/>
        <v>IoU 75</v>
      </c>
      <c r="AM247" s="11" t="str">
        <f t="shared" si="103"/>
        <v>IoU 50</v>
      </c>
    </row>
    <row r="248" spans="9:39" ht="15" x14ac:dyDescent="0.25">
      <c r="I248">
        <v>0.89751813220389198</v>
      </c>
      <c r="J248">
        <v>0.31487986511170435</v>
      </c>
      <c r="K248">
        <v>0.16153846153846155</v>
      </c>
      <c r="M248" s="11" t="str">
        <f>VLOOKUP(I248,IoU_Thresholds,2,TRUE)</f>
        <v>IoU 100</v>
      </c>
      <c r="N248" s="11" t="str">
        <f t="shared" si="96"/>
        <v>IoU 50</v>
      </c>
      <c r="O248" s="11" t="str">
        <f t="shared" si="97"/>
        <v>IoU 25</v>
      </c>
      <c r="Q248">
        <v>0.41511602411032372</v>
      </c>
      <c r="R248">
        <v>0.38130657868656115</v>
      </c>
      <c r="S248">
        <v>0.49184714465103102</v>
      </c>
      <c r="U248" s="11" t="str">
        <f t="shared" si="88"/>
        <v>IoU 50</v>
      </c>
      <c r="V248" s="11" t="str">
        <f t="shared" si="98"/>
        <v>IoU 50</v>
      </c>
      <c r="W248" s="11" t="str">
        <f t="shared" si="99"/>
        <v>IoU 50</v>
      </c>
      <c r="Y248" s="11">
        <v>0.42440154578308942</v>
      </c>
      <c r="Z248" s="11">
        <v>0.40010084457330142</v>
      </c>
      <c r="AA248" s="11">
        <v>0.44794321077539134</v>
      </c>
      <c r="AC248" s="11" t="str">
        <f t="shared" si="104"/>
        <v>IoU 50</v>
      </c>
      <c r="AD248" s="11" t="str">
        <f t="shared" si="100"/>
        <v>IoU 50</v>
      </c>
      <c r="AE248" s="11" t="str">
        <f t="shared" si="101"/>
        <v>IoU 50</v>
      </c>
      <c r="AG248" s="11">
        <v>0.78586560738770239</v>
      </c>
      <c r="AH248" s="11">
        <v>0.28873732074151803</v>
      </c>
      <c r="AI248" s="11">
        <v>0.21664374140302614</v>
      </c>
      <c r="AK248" s="11" t="str">
        <f t="shared" si="93"/>
        <v>IoU 100</v>
      </c>
      <c r="AL248" s="11" t="str">
        <f t="shared" si="102"/>
        <v>IoU 50</v>
      </c>
      <c r="AM248" s="11" t="str">
        <f t="shared" si="103"/>
        <v>IoU 25</v>
      </c>
    </row>
    <row r="249" spans="9:39" ht="15" x14ac:dyDescent="0.25">
      <c r="I249">
        <v>0.81430081081471184</v>
      </c>
      <c r="J249">
        <v>0.35376942969924807</v>
      </c>
      <c r="K249">
        <v>0.2148385283758712</v>
      </c>
      <c r="M249" s="11" t="str">
        <f>VLOOKUP(I249,IoU_Thresholds,2,TRUE)</f>
        <v>IoU 100</v>
      </c>
      <c r="N249" s="11" t="str">
        <f t="shared" si="96"/>
        <v>IoU 50</v>
      </c>
      <c r="O249" s="11" t="str">
        <f t="shared" si="97"/>
        <v>IoU 25</v>
      </c>
      <c r="Q249">
        <v>0.5002940252243897</v>
      </c>
      <c r="R249">
        <v>0.50057790327734553</v>
      </c>
      <c r="S249">
        <v>0.33276740237690999</v>
      </c>
      <c r="U249" s="11" t="str">
        <f t="shared" si="88"/>
        <v>IoU 75</v>
      </c>
      <c r="V249" s="11" t="str">
        <f t="shared" si="98"/>
        <v>IoU 75</v>
      </c>
      <c r="W249" s="11" t="str">
        <f t="shared" si="99"/>
        <v>IoU 50</v>
      </c>
      <c r="Y249" s="11">
        <v>0.6478157510722361</v>
      </c>
      <c r="Z249" s="11">
        <v>0.23532034757295955</v>
      </c>
      <c r="AA249" s="11">
        <v>0.19914758747672057</v>
      </c>
      <c r="AC249" s="11" t="str">
        <f t="shared" si="104"/>
        <v>IoU 75</v>
      </c>
      <c r="AD249" s="11" t="str">
        <f t="shared" si="100"/>
        <v>IoU 25</v>
      </c>
      <c r="AE249" s="11" t="str">
        <f t="shared" si="101"/>
        <v>IoU 25</v>
      </c>
      <c r="AG249" s="11">
        <v>0.71455277322879351</v>
      </c>
      <c r="AH249" s="11">
        <v>0.24517667461521786</v>
      </c>
      <c r="AI249" s="11">
        <v>0.34333175877814515</v>
      </c>
      <c r="AK249" s="11" t="str">
        <f t="shared" si="93"/>
        <v>IoU 75</v>
      </c>
      <c r="AL249" s="11" t="str">
        <f t="shared" si="102"/>
        <v>IoU 25</v>
      </c>
      <c r="AM249" s="11" t="str">
        <f t="shared" si="103"/>
        <v>IoU 50</v>
      </c>
    </row>
    <row r="250" spans="9:39" ht="15" x14ac:dyDescent="0.25">
      <c r="I250">
        <v>0.6422612067155411</v>
      </c>
      <c r="J250">
        <v>0.39306507552406178</v>
      </c>
      <c r="K250">
        <v>0.29748163693599161</v>
      </c>
      <c r="M250" s="11" t="str">
        <f>VLOOKUP(I250,IoU_Thresholds,2,TRUE)</f>
        <v>IoU 75</v>
      </c>
      <c r="N250" s="11" t="str">
        <f t="shared" si="96"/>
        <v>IoU 50</v>
      </c>
      <c r="O250" s="11" t="str">
        <f t="shared" si="97"/>
        <v>IoU 50</v>
      </c>
      <c r="Q250">
        <v>0.44438576803749424</v>
      </c>
      <c r="R250">
        <v>0.60905446981843392</v>
      </c>
      <c r="S250">
        <v>0.34571583514099785</v>
      </c>
      <c r="U250" s="11" t="str">
        <f t="shared" si="88"/>
        <v>IoU 50</v>
      </c>
      <c r="V250" s="11" t="str">
        <f t="shared" si="98"/>
        <v>IoU 75</v>
      </c>
      <c r="W250" s="11" t="str">
        <f t="shared" si="99"/>
        <v>IoU 50</v>
      </c>
      <c r="Y250" s="11">
        <v>0.80284819712928757</v>
      </c>
      <c r="Z250" s="11">
        <v>0.2391304347826087</v>
      </c>
      <c r="AA250" s="11">
        <v>0.46174069461740697</v>
      </c>
      <c r="AC250" s="11" t="str">
        <f t="shared" si="104"/>
        <v>IoU 100</v>
      </c>
      <c r="AD250" s="11" t="str">
        <f t="shared" si="100"/>
        <v>IoU 25</v>
      </c>
      <c r="AE250" s="11" t="str">
        <f t="shared" si="101"/>
        <v>IoU 50</v>
      </c>
      <c r="AG250" s="11">
        <v>0.7874237652555568</v>
      </c>
      <c r="AH250" s="11">
        <v>0.36921924733196032</v>
      </c>
      <c r="AI250" s="11">
        <v>0.18518518518518517</v>
      </c>
      <c r="AK250" s="11" t="str">
        <f t="shared" si="93"/>
        <v>IoU 100</v>
      </c>
      <c r="AL250" s="11" t="str">
        <f t="shared" si="102"/>
        <v>IoU 50</v>
      </c>
      <c r="AM250" s="11" t="str">
        <f t="shared" si="103"/>
        <v>IoU 25</v>
      </c>
    </row>
    <row r="251" spans="9:39" ht="15" x14ac:dyDescent="0.25">
      <c r="I251"/>
      <c r="J251"/>
      <c r="K251"/>
      <c r="Q251">
        <v>0.53486433427290936</v>
      </c>
      <c r="R251">
        <v>0.76686838098163701</v>
      </c>
      <c r="S251">
        <v>0.45898876404494382</v>
      </c>
      <c r="U251" s="11" t="str">
        <f t="shared" si="88"/>
        <v>IoU 75</v>
      </c>
      <c r="V251" s="11" t="str">
        <f t="shared" si="98"/>
        <v>IoU 100</v>
      </c>
      <c r="W251" s="11" t="str">
        <f t="shared" si="99"/>
        <v>IoU 50</v>
      </c>
      <c r="Y251" s="11">
        <v>0.39895142124986122</v>
      </c>
      <c r="Z251" s="11">
        <v>0</v>
      </c>
      <c r="AA251" s="11">
        <v>0</v>
      </c>
      <c r="AC251" s="11" t="str">
        <f t="shared" si="104"/>
        <v>IoU 50</v>
      </c>
      <c r="AD251" s="11" t="str">
        <f t="shared" si="100"/>
        <v>IoU 25</v>
      </c>
      <c r="AE251" s="11" t="str">
        <f t="shared" si="101"/>
        <v>IoU 25</v>
      </c>
      <c r="AG251" s="11">
        <v>0.45906260242543429</v>
      </c>
      <c r="AH251" s="11">
        <v>0.4257441673370877</v>
      </c>
      <c r="AI251" s="11">
        <v>0.3102442581115567</v>
      </c>
      <c r="AK251" s="11" t="str">
        <f t="shared" si="93"/>
        <v>IoU 50</v>
      </c>
      <c r="AL251" s="11" t="str">
        <f t="shared" si="102"/>
        <v>IoU 50</v>
      </c>
      <c r="AM251" s="11" t="str">
        <f t="shared" si="103"/>
        <v>IoU 50</v>
      </c>
    </row>
    <row r="252" spans="9:39" ht="15" x14ac:dyDescent="0.25">
      <c r="I252">
        <v>0.27051300102297243</v>
      </c>
      <c r="J252">
        <v>0</v>
      </c>
      <c r="K252">
        <v>0.17663274431576279</v>
      </c>
      <c r="M252" s="11" t="str">
        <f t="shared" ref="M252:M259" si="105">VLOOKUP(I252,IoU_Thresholds,2,TRUE)</f>
        <v>IoU 50</v>
      </c>
      <c r="N252" s="11" t="str">
        <f t="shared" si="96"/>
        <v>IoU 25</v>
      </c>
      <c r="O252" s="11" t="str">
        <f t="shared" si="97"/>
        <v>IoU 25</v>
      </c>
      <c r="Q252">
        <v>0.52281540425674711</v>
      </c>
      <c r="R252">
        <v>0.31936737734451398</v>
      </c>
      <c r="S252">
        <v>0.21806700710208332</v>
      </c>
      <c r="U252" s="11" t="str">
        <f t="shared" si="88"/>
        <v>IoU 75</v>
      </c>
      <c r="V252" s="11" t="str">
        <f t="shared" si="98"/>
        <v>IoU 50</v>
      </c>
      <c r="W252" s="11" t="str">
        <f t="shared" si="99"/>
        <v>IoU 25</v>
      </c>
      <c r="Y252" s="11">
        <v>0.69428678232456531</v>
      </c>
      <c r="Z252" s="11">
        <v>0.36811891337775499</v>
      </c>
      <c r="AA252" s="11">
        <v>0.29241418279417997</v>
      </c>
      <c r="AC252" s="11" t="str">
        <f t="shared" si="104"/>
        <v>IoU 75</v>
      </c>
      <c r="AD252" s="11" t="str">
        <f t="shared" si="100"/>
        <v>IoU 50</v>
      </c>
      <c r="AE252" s="11" t="str">
        <f t="shared" si="101"/>
        <v>IoU 50</v>
      </c>
      <c r="AG252" s="11">
        <v>0.45126073451489129</v>
      </c>
      <c r="AH252" s="11">
        <v>0.44798731363077099</v>
      </c>
      <c r="AI252" s="11">
        <v>0.33677492021775857</v>
      </c>
      <c r="AK252" s="11" t="str">
        <f t="shared" si="93"/>
        <v>IoU 50</v>
      </c>
      <c r="AL252" s="11" t="str">
        <f t="shared" si="102"/>
        <v>IoU 50</v>
      </c>
      <c r="AM252" s="11" t="str">
        <f t="shared" si="103"/>
        <v>IoU 50</v>
      </c>
    </row>
    <row r="253" spans="9:39" ht="15" x14ac:dyDescent="0.25">
      <c r="I253">
        <v>0.67265476794894785</v>
      </c>
      <c r="J253">
        <v>0.43036123799706227</v>
      </c>
      <c r="K253">
        <v>0.35450282719624882</v>
      </c>
      <c r="M253" s="11" t="str">
        <f t="shared" si="105"/>
        <v>IoU 75</v>
      </c>
      <c r="N253" s="11" t="str">
        <f t="shared" si="96"/>
        <v>IoU 50</v>
      </c>
      <c r="O253" s="11" t="str">
        <f t="shared" si="97"/>
        <v>IoU 50</v>
      </c>
      <c r="Q253">
        <v>0.38219653179190749</v>
      </c>
      <c r="R253">
        <v>0.39290408845720681</v>
      </c>
      <c r="S253">
        <v>0.34678624813153963</v>
      </c>
      <c r="U253" s="11" t="str">
        <f t="shared" si="88"/>
        <v>IoU 50</v>
      </c>
      <c r="V253" s="11" t="str">
        <f t="shared" si="98"/>
        <v>IoU 50</v>
      </c>
      <c r="W253" s="11" t="str">
        <f t="shared" si="99"/>
        <v>IoU 50</v>
      </c>
      <c r="Y253" s="11">
        <v>0.43078464521930032</v>
      </c>
      <c r="Z253" s="11">
        <v>0.38437459766444165</v>
      </c>
      <c r="AA253" s="11">
        <v>0.39360680362397082</v>
      </c>
      <c r="AC253" s="11" t="str">
        <f t="shared" si="104"/>
        <v>IoU 50</v>
      </c>
      <c r="AD253" s="11" t="str">
        <f t="shared" si="100"/>
        <v>IoU 50</v>
      </c>
      <c r="AE253" s="11" t="str">
        <f t="shared" si="101"/>
        <v>IoU 50</v>
      </c>
      <c r="AG253" s="11">
        <v>0.87543820061429556</v>
      </c>
      <c r="AH253" s="11">
        <v>0.7508732371493908</v>
      </c>
      <c r="AI253" s="11">
        <v>0.35508282712085321</v>
      </c>
      <c r="AK253" s="11" t="str">
        <f t="shared" si="93"/>
        <v>IoU 100</v>
      </c>
      <c r="AL253" s="11" t="str">
        <f t="shared" si="102"/>
        <v>IoU 100</v>
      </c>
      <c r="AM253" s="11" t="str">
        <f t="shared" si="103"/>
        <v>IoU 50</v>
      </c>
    </row>
    <row r="254" spans="9:39" ht="15" x14ac:dyDescent="0.25">
      <c r="I254">
        <v>0.15418438903301218</v>
      </c>
      <c r="J254">
        <v>0.16856099998269369</v>
      </c>
      <c r="K254">
        <v>0</v>
      </c>
      <c r="M254" s="11" t="str">
        <f t="shared" si="105"/>
        <v>IoU 25</v>
      </c>
      <c r="N254" s="11" t="str">
        <f t="shared" si="96"/>
        <v>IoU 25</v>
      </c>
      <c r="O254" s="11" t="str">
        <f t="shared" si="97"/>
        <v>IoU 25</v>
      </c>
      <c r="Q254">
        <v>0.42960773652928125</v>
      </c>
      <c r="R254">
        <v>0.79193921240301579</v>
      </c>
      <c r="S254">
        <v>0.36457196203188619</v>
      </c>
      <c r="U254" s="11" t="str">
        <f t="shared" si="88"/>
        <v>IoU 50</v>
      </c>
      <c r="V254" s="11" t="str">
        <f t="shared" si="98"/>
        <v>IoU 100</v>
      </c>
      <c r="W254" s="11" t="str">
        <f t="shared" si="99"/>
        <v>IoU 50</v>
      </c>
      <c r="Y254" s="11">
        <v>0.45959318306761959</v>
      </c>
      <c r="Z254" s="11">
        <v>0.51232127221328139</v>
      </c>
      <c r="AA254" s="11">
        <v>0.37891440501043844</v>
      </c>
      <c r="AC254" s="11" t="str">
        <f t="shared" si="104"/>
        <v>IoU 50</v>
      </c>
      <c r="AD254" s="11" t="str">
        <f t="shared" si="100"/>
        <v>IoU 75</v>
      </c>
      <c r="AE254" s="11" t="str">
        <f t="shared" si="101"/>
        <v>IoU 50</v>
      </c>
      <c r="AG254" s="11">
        <v>0.44884477360790132</v>
      </c>
      <c r="AH254" s="11">
        <v>0.14336811161949872</v>
      </c>
      <c r="AI254" s="11">
        <v>0.39445474598854235</v>
      </c>
      <c r="AK254" s="11" t="str">
        <f t="shared" si="93"/>
        <v>IoU 50</v>
      </c>
      <c r="AL254" s="11" t="str">
        <f t="shared" si="102"/>
        <v>IoU 25</v>
      </c>
      <c r="AM254" s="11" t="str">
        <f t="shared" si="103"/>
        <v>IoU 50</v>
      </c>
    </row>
    <row r="255" spans="9:39" ht="15" x14ac:dyDescent="0.25">
      <c r="I255">
        <v>0.41692687634835923</v>
      </c>
      <c r="J255">
        <v>0.39745323162955704</v>
      </c>
      <c r="K255">
        <v>0.39426106012874951</v>
      </c>
      <c r="M255" s="11" t="str">
        <f t="shared" si="105"/>
        <v>IoU 50</v>
      </c>
      <c r="N255" s="11" t="str">
        <f t="shared" si="96"/>
        <v>IoU 50</v>
      </c>
      <c r="O255" s="11" t="str">
        <f t="shared" si="97"/>
        <v>IoU 50</v>
      </c>
      <c r="Q255"/>
      <c r="R255"/>
      <c r="S255"/>
    </row>
    <row r="256" spans="9:39" ht="15" x14ac:dyDescent="0.25">
      <c r="I256">
        <v>0.91102715850252181</v>
      </c>
      <c r="J256">
        <v>0.36560934891485808</v>
      </c>
      <c r="K256">
        <v>0.37090327737809753</v>
      </c>
      <c r="M256" s="11" t="str">
        <f t="shared" si="105"/>
        <v>IoU 100</v>
      </c>
      <c r="N256" s="11" t="str">
        <f t="shared" si="96"/>
        <v>IoU 50</v>
      </c>
      <c r="O256" s="11" t="str">
        <f t="shared" si="97"/>
        <v>IoU 50</v>
      </c>
      <c r="Q256">
        <v>0.44285588911211704</v>
      </c>
      <c r="R256">
        <v>0.50209716760294354</v>
      </c>
      <c r="S256">
        <v>0.60238204494771019</v>
      </c>
      <c r="U256" s="11" t="str">
        <f t="shared" ref="U256:U287" si="106">VLOOKUP(Q256,IoU_Thresholds,2,TRUE)</f>
        <v>IoU 50</v>
      </c>
      <c r="V256" s="11" t="str">
        <f t="shared" si="98"/>
        <v>IoU 75</v>
      </c>
      <c r="W256" s="11" t="str">
        <f t="shared" si="99"/>
        <v>IoU 75</v>
      </c>
      <c r="Y256" s="11">
        <v>0.87649990506929942</v>
      </c>
      <c r="Z256" s="11">
        <v>0.37646231862228247</v>
      </c>
      <c r="AA256" s="11">
        <v>0.3288125811571202</v>
      </c>
      <c r="AC256" s="11" t="str">
        <f t="shared" ref="AC256:AC262" si="107">VLOOKUP(Y256,IoU_Thresholds,2,TRUE)</f>
        <v>IoU 100</v>
      </c>
      <c r="AD256" s="11" t="str">
        <f t="shared" si="100"/>
        <v>IoU 50</v>
      </c>
      <c r="AE256" s="11" t="str">
        <f t="shared" si="101"/>
        <v>IoU 50</v>
      </c>
      <c r="AG256" s="11">
        <v>0.77380598022048097</v>
      </c>
      <c r="AH256" s="11">
        <v>0.18247796785899431</v>
      </c>
      <c r="AI256" s="11">
        <v>0.24375995751460436</v>
      </c>
      <c r="AK256" s="11" t="str">
        <f t="shared" ref="AK256:AK262" si="108">VLOOKUP(AG256,IoU_Thresholds,2,TRUE)</f>
        <v>IoU 100</v>
      </c>
      <c r="AL256" s="11" t="str">
        <f t="shared" si="102"/>
        <v>IoU 25</v>
      </c>
      <c r="AM256" s="11" t="str">
        <f t="shared" si="103"/>
        <v>IoU 25</v>
      </c>
    </row>
    <row r="257" spans="9:39" ht="15" x14ac:dyDescent="0.25">
      <c r="I257">
        <v>0.87958618465107086</v>
      </c>
      <c r="J257">
        <v>0.41089527027027029</v>
      </c>
      <c r="K257">
        <v>0.35319351763584367</v>
      </c>
      <c r="M257" s="11" t="str">
        <f t="shared" si="105"/>
        <v>IoU 100</v>
      </c>
      <c r="N257" s="11" t="str">
        <f t="shared" si="96"/>
        <v>IoU 50</v>
      </c>
      <c r="O257" s="11" t="str">
        <f t="shared" si="97"/>
        <v>IoU 50</v>
      </c>
      <c r="Q257">
        <v>0.45308414127423707</v>
      </c>
      <c r="R257">
        <v>0.66379749170475189</v>
      </c>
      <c r="S257">
        <v>0.486195672682536</v>
      </c>
      <c r="U257" s="11" t="str">
        <f t="shared" si="106"/>
        <v>IoU 50</v>
      </c>
      <c r="V257" s="11" t="str">
        <f t="shared" si="98"/>
        <v>IoU 75</v>
      </c>
      <c r="W257" s="11" t="str">
        <f t="shared" si="99"/>
        <v>IoU 50</v>
      </c>
      <c r="Y257" s="11">
        <v>0.44426107917671054</v>
      </c>
      <c r="Z257" s="11">
        <v>0.26498106482512807</v>
      </c>
      <c r="AA257" s="11">
        <v>0.30049498143819608</v>
      </c>
      <c r="AC257" s="11" t="str">
        <f t="shared" si="107"/>
        <v>IoU 50</v>
      </c>
      <c r="AD257" s="11" t="str">
        <f t="shared" si="100"/>
        <v>IoU 50</v>
      </c>
      <c r="AE257" s="11" t="str">
        <f t="shared" si="101"/>
        <v>IoU 50</v>
      </c>
      <c r="AG257" s="11">
        <v>0</v>
      </c>
      <c r="AH257" s="11">
        <v>0</v>
      </c>
      <c r="AI257" s="11">
        <v>0.20335968379446639</v>
      </c>
      <c r="AK257" s="11" t="str">
        <f t="shared" si="108"/>
        <v>IoU 25</v>
      </c>
      <c r="AL257" s="11" t="str">
        <f t="shared" si="102"/>
        <v>IoU 25</v>
      </c>
      <c r="AM257" s="11" t="str">
        <f t="shared" si="103"/>
        <v>IoU 25</v>
      </c>
    </row>
    <row r="258" spans="9:39" ht="15" x14ac:dyDescent="0.25">
      <c r="I258">
        <v>0.43881957773512476</v>
      </c>
      <c r="J258">
        <v>0.40348047538200338</v>
      </c>
      <c r="K258">
        <v>0.27084152745917206</v>
      </c>
      <c r="M258" s="11" t="str">
        <f t="shared" si="105"/>
        <v>IoU 50</v>
      </c>
      <c r="N258" s="11" t="str">
        <f t="shared" si="96"/>
        <v>IoU 50</v>
      </c>
      <c r="O258" s="11" t="str">
        <f t="shared" si="97"/>
        <v>IoU 50</v>
      </c>
      <c r="Q258">
        <v>0.4527163897416045</v>
      </c>
      <c r="R258">
        <v>0.48858000473482294</v>
      </c>
      <c r="S258">
        <v>0.39270540737816201</v>
      </c>
      <c r="U258" s="11" t="str">
        <f t="shared" si="106"/>
        <v>IoU 50</v>
      </c>
      <c r="V258" s="11" t="str">
        <f t="shared" si="98"/>
        <v>IoU 50</v>
      </c>
      <c r="W258" s="11" t="str">
        <f t="shared" si="99"/>
        <v>IoU 50</v>
      </c>
      <c r="Y258" s="11">
        <v>0.43801833260584899</v>
      </c>
      <c r="Z258" s="11">
        <v>0.47408008063035756</v>
      </c>
      <c r="AA258" s="11">
        <v>0.32380952380952382</v>
      </c>
      <c r="AC258" s="11" t="str">
        <f t="shared" si="107"/>
        <v>IoU 50</v>
      </c>
      <c r="AD258" s="11" t="str">
        <f t="shared" si="100"/>
        <v>IoU 50</v>
      </c>
      <c r="AE258" s="11" t="str">
        <f t="shared" si="101"/>
        <v>IoU 50</v>
      </c>
      <c r="AG258" s="11">
        <v>0.73979125362621012</v>
      </c>
      <c r="AH258" s="11">
        <v>0.69515187244764198</v>
      </c>
      <c r="AI258" s="11">
        <v>0.20271580989330748</v>
      </c>
      <c r="AK258" s="11" t="str">
        <f t="shared" si="108"/>
        <v>IoU 75</v>
      </c>
      <c r="AL258" s="11" t="str">
        <f t="shared" si="102"/>
        <v>IoU 75</v>
      </c>
      <c r="AM258" s="11" t="str">
        <f t="shared" si="103"/>
        <v>IoU 25</v>
      </c>
    </row>
    <row r="259" spans="9:39" ht="15" x14ac:dyDescent="0.25">
      <c r="I259">
        <v>0.60675527316810107</v>
      </c>
      <c r="J259">
        <v>0.46335026153004777</v>
      </c>
      <c r="K259">
        <v>0.24449502760833453</v>
      </c>
      <c r="M259" s="11" t="str">
        <f t="shared" si="105"/>
        <v>IoU 75</v>
      </c>
      <c r="N259" s="11" t="str">
        <f t="shared" si="96"/>
        <v>IoU 50</v>
      </c>
      <c r="O259" s="11" t="str">
        <f t="shared" si="97"/>
        <v>IoU 25</v>
      </c>
      <c r="Q259">
        <v>0.15721714779118948</v>
      </c>
      <c r="R259">
        <v>0.13908007336491079</v>
      </c>
      <c r="S259">
        <v>0</v>
      </c>
      <c r="U259" s="11" t="str">
        <f t="shared" si="106"/>
        <v>IoU 25</v>
      </c>
      <c r="V259" s="11" t="str">
        <f t="shared" si="98"/>
        <v>IoU 25</v>
      </c>
      <c r="W259" s="11" t="str">
        <f t="shared" si="99"/>
        <v>IoU 25</v>
      </c>
      <c r="Y259" s="11">
        <v>0</v>
      </c>
      <c r="Z259" s="11">
        <v>0</v>
      </c>
      <c r="AA259" s="11">
        <v>0</v>
      </c>
      <c r="AC259" s="11" t="str">
        <f t="shared" si="107"/>
        <v>IoU 25</v>
      </c>
      <c r="AD259" s="11" t="str">
        <f t="shared" si="100"/>
        <v>IoU 25</v>
      </c>
      <c r="AE259" s="11" t="str">
        <f t="shared" si="101"/>
        <v>IoU 25</v>
      </c>
      <c r="AG259" s="11">
        <v>0.78024435208653897</v>
      </c>
      <c r="AH259" s="11">
        <v>0.31454798127559974</v>
      </c>
      <c r="AI259" s="11">
        <v>0.24044205495818399</v>
      </c>
      <c r="AK259" s="11" t="str">
        <f t="shared" si="108"/>
        <v>IoU 100</v>
      </c>
      <c r="AL259" s="11" t="str">
        <f t="shared" si="102"/>
        <v>IoU 50</v>
      </c>
      <c r="AM259" s="11" t="str">
        <f t="shared" si="103"/>
        <v>IoU 25</v>
      </c>
    </row>
    <row r="260" spans="9:39" ht="15" x14ac:dyDescent="0.25">
      <c r="I260"/>
      <c r="J260"/>
      <c r="K260"/>
      <c r="Q260">
        <v>0.44218436625646867</v>
      </c>
      <c r="R260">
        <v>0.64480066638035738</v>
      </c>
      <c r="S260">
        <v>0.49809742800236351</v>
      </c>
      <c r="U260" s="11" t="str">
        <f t="shared" si="106"/>
        <v>IoU 50</v>
      </c>
      <c r="V260" s="11" t="str">
        <f t="shared" si="98"/>
        <v>IoU 75</v>
      </c>
      <c r="W260" s="11" t="str">
        <f t="shared" si="99"/>
        <v>IoU 50</v>
      </c>
      <c r="Y260" s="11">
        <v>0.63106576641334544</v>
      </c>
      <c r="Z260" s="11">
        <v>0.34820974036993041</v>
      </c>
      <c r="AA260" s="11">
        <v>0.5296062737353614</v>
      </c>
      <c r="AC260" s="11" t="str">
        <f t="shared" si="107"/>
        <v>IoU 75</v>
      </c>
      <c r="AD260" s="11" t="str">
        <f t="shared" si="100"/>
        <v>IoU 50</v>
      </c>
      <c r="AE260" s="11" t="str">
        <f t="shared" si="101"/>
        <v>IoU 75</v>
      </c>
      <c r="AG260" s="11">
        <v>0.4178697729836614</v>
      </c>
      <c r="AH260" s="11">
        <v>0.44919692737430167</v>
      </c>
      <c r="AI260" s="11">
        <v>0.41695185945699292</v>
      </c>
      <c r="AK260" s="11" t="str">
        <f t="shared" si="108"/>
        <v>IoU 50</v>
      </c>
      <c r="AL260" s="11" t="str">
        <f t="shared" si="102"/>
        <v>IoU 50</v>
      </c>
      <c r="AM260" s="11" t="str">
        <f t="shared" si="103"/>
        <v>IoU 50</v>
      </c>
    </row>
    <row r="261" spans="9:39" ht="15" x14ac:dyDescent="0.25">
      <c r="I261">
        <v>0.4413181002738174</v>
      </c>
      <c r="J261">
        <v>0.3485901750655318</v>
      </c>
      <c r="K261">
        <v>0.32190802627820625</v>
      </c>
      <c r="M261" s="11" t="str">
        <f>VLOOKUP(I261,IoU_Thresholds,2,TRUE)</f>
        <v>IoU 50</v>
      </c>
      <c r="N261" s="11" t="str">
        <f t="shared" si="96"/>
        <v>IoU 50</v>
      </c>
      <c r="O261" s="11" t="str">
        <f t="shared" si="97"/>
        <v>IoU 50</v>
      </c>
      <c r="Q261">
        <v>0.51579801098862987</v>
      </c>
      <c r="R261">
        <v>0.28081831790188078</v>
      </c>
      <c r="S261">
        <v>0.39302657589153667</v>
      </c>
      <c r="U261" s="11" t="str">
        <f t="shared" si="106"/>
        <v>IoU 75</v>
      </c>
      <c r="V261" s="11" t="str">
        <f t="shared" si="98"/>
        <v>IoU 50</v>
      </c>
      <c r="W261" s="11" t="str">
        <f t="shared" si="99"/>
        <v>IoU 50</v>
      </c>
      <c r="Y261" s="11">
        <v>3.290666747264704E-2</v>
      </c>
      <c r="Z261" s="11">
        <v>0</v>
      </c>
      <c r="AA261" s="11">
        <v>0</v>
      </c>
      <c r="AC261" s="11" t="str">
        <f t="shared" si="107"/>
        <v>IoU 25</v>
      </c>
      <c r="AD261" s="11" t="str">
        <f t="shared" si="100"/>
        <v>IoU 25</v>
      </c>
      <c r="AE261" s="11" t="str">
        <f t="shared" si="101"/>
        <v>IoU 25</v>
      </c>
      <c r="AG261" s="11">
        <v>0.77225796810668634</v>
      </c>
      <c r="AH261" s="11">
        <v>0.32807527351125892</v>
      </c>
      <c r="AI261" s="11">
        <v>0.19730715553245942</v>
      </c>
      <c r="AK261" s="11" t="str">
        <f t="shared" si="108"/>
        <v>IoU 100</v>
      </c>
      <c r="AL261" s="11" t="str">
        <f t="shared" si="102"/>
        <v>IoU 50</v>
      </c>
      <c r="AM261" s="11" t="str">
        <f t="shared" si="103"/>
        <v>IoU 25</v>
      </c>
    </row>
    <row r="262" spans="9:39" ht="15" x14ac:dyDescent="0.25">
      <c r="I262">
        <v>0.7904474041962648</v>
      </c>
      <c r="J262">
        <v>0.52272830379066271</v>
      </c>
      <c r="K262">
        <v>0.34351527290936407</v>
      </c>
      <c r="M262" s="11" t="str">
        <f>VLOOKUP(I262,IoU_Thresholds,2,TRUE)</f>
        <v>IoU 100</v>
      </c>
      <c r="N262" s="11" t="str">
        <f t="shared" si="96"/>
        <v>IoU 75</v>
      </c>
      <c r="O262" s="11" t="str">
        <f t="shared" si="97"/>
        <v>IoU 50</v>
      </c>
      <c r="Q262">
        <v>0.69091596133184496</v>
      </c>
      <c r="R262">
        <v>0.34497861114963646</v>
      </c>
      <c r="S262">
        <v>0.22387676470644663</v>
      </c>
      <c r="U262" s="11" t="str">
        <f t="shared" si="106"/>
        <v>IoU 75</v>
      </c>
      <c r="V262" s="11" t="str">
        <f t="shared" si="98"/>
        <v>IoU 50</v>
      </c>
      <c r="W262" s="11" t="str">
        <f t="shared" si="99"/>
        <v>IoU 25</v>
      </c>
      <c r="Y262" s="11">
        <v>0.38351237653685788</v>
      </c>
      <c r="Z262" s="11">
        <v>0</v>
      </c>
      <c r="AA262" s="11">
        <v>0</v>
      </c>
      <c r="AC262" s="11" t="str">
        <f t="shared" si="107"/>
        <v>IoU 50</v>
      </c>
      <c r="AD262" s="11" t="str">
        <f t="shared" si="100"/>
        <v>IoU 25</v>
      </c>
      <c r="AE262" s="11" t="str">
        <f t="shared" si="101"/>
        <v>IoU 25</v>
      </c>
      <c r="AG262" s="11">
        <v>0.42803121731434546</v>
      </c>
      <c r="AH262" s="11">
        <v>0.45463974123408174</v>
      </c>
      <c r="AI262" s="11">
        <v>0.24412569111926088</v>
      </c>
      <c r="AK262" s="11" t="str">
        <f t="shared" si="108"/>
        <v>IoU 50</v>
      </c>
      <c r="AL262" s="11" t="str">
        <f t="shared" si="102"/>
        <v>IoU 50</v>
      </c>
      <c r="AM262" s="11" t="str">
        <f t="shared" si="103"/>
        <v>IoU 25</v>
      </c>
    </row>
    <row r="263" spans="9:39" ht="15" x14ac:dyDescent="0.25">
      <c r="I263"/>
      <c r="J263"/>
      <c r="K263"/>
      <c r="Q263">
        <v>0.42100937037645897</v>
      </c>
      <c r="R263">
        <v>0.30344357313331061</v>
      </c>
      <c r="S263">
        <v>0.64354393284417344</v>
      </c>
      <c r="U263" s="11" t="str">
        <f t="shared" si="106"/>
        <v>IoU 50</v>
      </c>
      <c r="V263" s="11" t="str">
        <f t="shared" si="98"/>
        <v>IoU 50</v>
      </c>
      <c r="W263" s="11" t="str">
        <f t="shared" si="99"/>
        <v>IoU 75</v>
      </c>
    </row>
    <row r="264" spans="9:39" ht="15" x14ac:dyDescent="0.25">
      <c r="I264">
        <v>0.76693305391948807</v>
      </c>
      <c r="J264">
        <v>0.42245444118771502</v>
      </c>
      <c r="K264">
        <v>0.42767295597484278</v>
      </c>
      <c r="M264" s="11" t="str">
        <f t="shared" ref="M264:M287" si="109">VLOOKUP(I264,IoU_Thresholds,2,TRUE)</f>
        <v>IoU 100</v>
      </c>
      <c r="N264" s="11" t="str">
        <f t="shared" si="96"/>
        <v>IoU 50</v>
      </c>
      <c r="O264" s="11" t="str">
        <f t="shared" si="97"/>
        <v>IoU 50</v>
      </c>
      <c r="Q264">
        <v>0.4018103564742439</v>
      </c>
      <c r="R264">
        <v>0.60203787859655644</v>
      </c>
      <c r="S264">
        <v>0.43329725341631714</v>
      </c>
      <c r="U264" s="11" t="str">
        <f t="shared" si="106"/>
        <v>IoU 50</v>
      </c>
      <c r="V264" s="11" t="str">
        <f t="shared" si="98"/>
        <v>IoU 75</v>
      </c>
      <c r="W264" s="11" t="str">
        <f t="shared" si="99"/>
        <v>IoU 50</v>
      </c>
      <c r="Y264" s="11">
        <v>0.43652630309452733</v>
      </c>
      <c r="Z264" s="11">
        <v>0.45333063097373627</v>
      </c>
      <c r="AA264" s="11">
        <v>0.25735128098026239</v>
      </c>
      <c r="AC264" s="11" t="str">
        <f t="shared" ref="AC264:AC271" si="110">VLOOKUP(Y264,IoU_Thresholds,2,TRUE)</f>
        <v>IoU 50</v>
      </c>
      <c r="AD264" s="11" t="str">
        <f t="shared" si="100"/>
        <v>IoU 50</v>
      </c>
      <c r="AE264" s="11" t="str">
        <f t="shared" si="101"/>
        <v>IoU 50</v>
      </c>
      <c r="AG264" s="11">
        <v>0.82710809742989833</v>
      </c>
      <c r="AH264" s="11">
        <v>0.71952050481062901</v>
      </c>
      <c r="AI264" s="11">
        <v>0.25179017485428812</v>
      </c>
      <c r="AK264" s="11" t="str">
        <f t="shared" ref="AK264:AK295" si="111">VLOOKUP(AG264,IoU_Thresholds,2,TRUE)</f>
        <v>IoU 100</v>
      </c>
      <c r="AL264" s="11" t="str">
        <f t="shared" si="102"/>
        <v>IoU 75</v>
      </c>
      <c r="AM264" s="11" t="str">
        <f t="shared" si="103"/>
        <v>IoU 50</v>
      </c>
    </row>
    <row r="265" spans="9:39" ht="15" x14ac:dyDescent="0.25">
      <c r="I265">
        <v>0.63937386359631687</v>
      </c>
      <c r="J265">
        <v>0.56182231480802447</v>
      </c>
      <c r="K265">
        <v>0.34811165845648606</v>
      </c>
      <c r="M265" s="11" t="str">
        <f t="shared" si="109"/>
        <v>IoU 75</v>
      </c>
      <c r="N265" s="11" t="str">
        <f t="shared" si="96"/>
        <v>IoU 75</v>
      </c>
      <c r="O265" s="11" t="str">
        <f t="shared" si="97"/>
        <v>IoU 50</v>
      </c>
      <c r="Q265">
        <v>0.41878151973062056</v>
      </c>
      <c r="R265">
        <v>0.50330083100858392</v>
      </c>
      <c r="S265">
        <v>0.24781953664797587</v>
      </c>
      <c r="U265" s="11" t="str">
        <f t="shared" si="106"/>
        <v>IoU 50</v>
      </c>
      <c r="V265" s="11" t="str">
        <f t="shared" si="98"/>
        <v>IoU 75</v>
      </c>
      <c r="W265" s="11" t="str">
        <f t="shared" si="99"/>
        <v>IoU 25</v>
      </c>
      <c r="Y265" s="11">
        <v>0.44903611788167513</v>
      </c>
      <c r="Z265" s="11">
        <v>0.40754716981132078</v>
      </c>
      <c r="AA265" s="11">
        <v>0.37375246559839681</v>
      </c>
      <c r="AC265" s="11" t="str">
        <f t="shared" si="110"/>
        <v>IoU 50</v>
      </c>
      <c r="AD265" s="11" t="str">
        <f t="shared" si="100"/>
        <v>IoU 50</v>
      </c>
      <c r="AE265" s="11" t="str">
        <f t="shared" si="101"/>
        <v>IoU 50</v>
      </c>
      <c r="AG265" s="11">
        <v>0.87581173516744804</v>
      </c>
      <c r="AH265" s="11">
        <v>0.38800216507586516</v>
      </c>
      <c r="AI265" s="11">
        <v>0.2749205718824464</v>
      </c>
      <c r="AK265" s="11" t="str">
        <f t="shared" si="111"/>
        <v>IoU 100</v>
      </c>
      <c r="AL265" s="11" t="str">
        <f t="shared" si="102"/>
        <v>IoU 50</v>
      </c>
      <c r="AM265" s="11" t="str">
        <f t="shared" si="103"/>
        <v>IoU 50</v>
      </c>
    </row>
    <row r="266" spans="9:39" ht="15" x14ac:dyDescent="0.25">
      <c r="I266">
        <v>0.82414700491469439</v>
      </c>
      <c r="J266">
        <v>0.59800372428743231</v>
      </c>
      <c r="K266">
        <v>0.19642506383814576</v>
      </c>
      <c r="M266" s="11" t="str">
        <f t="shared" si="109"/>
        <v>IoU 100</v>
      </c>
      <c r="N266" s="11" t="str">
        <f t="shared" si="96"/>
        <v>IoU 75</v>
      </c>
      <c r="O266" s="11" t="str">
        <f t="shared" si="97"/>
        <v>IoU 25</v>
      </c>
      <c r="Q266">
        <v>0.12945884809465807</v>
      </c>
      <c r="R266">
        <v>0</v>
      </c>
      <c r="S266">
        <v>7.5948948201092784E-2</v>
      </c>
      <c r="U266" s="11" t="str">
        <f t="shared" si="106"/>
        <v>IoU 25</v>
      </c>
      <c r="V266" s="11" t="str">
        <f t="shared" si="98"/>
        <v>IoU 25</v>
      </c>
      <c r="W266" s="11" t="str">
        <f t="shared" si="99"/>
        <v>IoU 25</v>
      </c>
      <c r="Y266" s="11">
        <v>0.46510454878943508</v>
      </c>
      <c r="Z266" s="11">
        <v>0.72654209175639339</v>
      </c>
      <c r="AA266" s="11">
        <v>0.21243361449547016</v>
      </c>
      <c r="AC266" s="11" t="str">
        <f t="shared" si="110"/>
        <v>IoU 50</v>
      </c>
      <c r="AD266" s="11" t="str">
        <f t="shared" si="100"/>
        <v>IoU 75</v>
      </c>
      <c r="AE266" s="11" t="str">
        <f t="shared" si="101"/>
        <v>IoU 25</v>
      </c>
      <c r="AG266" s="11">
        <v>0</v>
      </c>
      <c r="AH266" s="11">
        <v>0.32428449537418036</v>
      </c>
      <c r="AI266" s="11">
        <v>0.57025977156051511</v>
      </c>
      <c r="AK266" s="11" t="str">
        <f t="shared" si="111"/>
        <v>IoU 25</v>
      </c>
      <c r="AL266" s="11" t="str">
        <f t="shared" si="102"/>
        <v>IoU 50</v>
      </c>
      <c r="AM266" s="11" t="str">
        <f t="shared" si="103"/>
        <v>IoU 75</v>
      </c>
    </row>
    <row r="267" spans="9:39" ht="15" x14ac:dyDescent="0.25">
      <c r="I267">
        <v>0.801894627954304</v>
      </c>
      <c r="J267">
        <v>0.62726684499619711</v>
      </c>
      <c r="K267">
        <v>0.60526265776360033</v>
      </c>
      <c r="M267" s="11" t="str">
        <f t="shared" si="109"/>
        <v>IoU 100</v>
      </c>
      <c r="N267" s="11" t="str">
        <f t="shared" si="96"/>
        <v>IoU 75</v>
      </c>
      <c r="O267" s="11" t="str">
        <f t="shared" si="97"/>
        <v>IoU 75</v>
      </c>
      <c r="Q267">
        <v>7.0098987631405166E-2</v>
      </c>
      <c r="R267">
        <v>0</v>
      </c>
      <c r="S267">
        <v>0</v>
      </c>
      <c r="U267" s="11" t="str">
        <f t="shared" si="106"/>
        <v>IoU 25</v>
      </c>
      <c r="V267" s="11" t="str">
        <f t="shared" si="98"/>
        <v>IoU 25</v>
      </c>
      <c r="W267" s="11" t="str">
        <f t="shared" si="99"/>
        <v>IoU 25</v>
      </c>
      <c r="Y267" s="11">
        <v>0.13623101678059751</v>
      </c>
      <c r="Z267" s="11">
        <v>0.19686315712941918</v>
      </c>
      <c r="AA267" s="11">
        <v>0.24572874574059825</v>
      </c>
      <c r="AC267" s="11" t="str">
        <f t="shared" si="110"/>
        <v>IoU 25</v>
      </c>
      <c r="AD267" s="11" t="str">
        <f t="shared" si="100"/>
        <v>IoU 25</v>
      </c>
      <c r="AE267" s="11" t="str">
        <f t="shared" si="101"/>
        <v>IoU 25</v>
      </c>
      <c r="AG267" s="11">
        <v>0.80515156216425543</v>
      </c>
      <c r="AH267" s="11">
        <v>0.35427370387669316</v>
      </c>
      <c r="AI267" s="11">
        <v>0.36450102429031311</v>
      </c>
      <c r="AK267" s="11" t="str">
        <f t="shared" si="111"/>
        <v>IoU 100</v>
      </c>
      <c r="AL267" s="11" t="str">
        <f t="shared" si="102"/>
        <v>IoU 50</v>
      </c>
      <c r="AM267" s="11" t="str">
        <f t="shared" si="103"/>
        <v>IoU 50</v>
      </c>
    </row>
    <row r="268" spans="9:39" ht="15" x14ac:dyDescent="0.25">
      <c r="I268">
        <v>0.85447059466376629</v>
      </c>
      <c r="J268">
        <v>0.26415850603908192</v>
      </c>
      <c r="K268">
        <v>0.17566467715680956</v>
      </c>
      <c r="M268" s="11" t="str">
        <f t="shared" si="109"/>
        <v>IoU 100</v>
      </c>
      <c r="N268" s="11" t="str">
        <f t="shared" si="96"/>
        <v>IoU 50</v>
      </c>
      <c r="O268" s="11" t="str">
        <f t="shared" si="97"/>
        <v>IoU 25</v>
      </c>
      <c r="Q268">
        <v>0.51933588695456401</v>
      </c>
      <c r="R268">
        <v>0.46507734451774896</v>
      </c>
      <c r="S268">
        <v>0.21370361642592181</v>
      </c>
      <c r="U268" s="11" t="str">
        <f t="shared" si="106"/>
        <v>IoU 75</v>
      </c>
      <c r="V268" s="11" t="str">
        <f t="shared" si="98"/>
        <v>IoU 50</v>
      </c>
      <c r="W268" s="11" t="str">
        <f t="shared" si="99"/>
        <v>IoU 25</v>
      </c>
      <c r="Y268" s="11">
        <v>0.43586215148976903</v>
      </c>
      <c r="Z268" s="11">
        <v>0.41956868902614908</v>
      </c>
      <c r="AA268" s="11">
        <v>0.15697674418604651</v>
      </c>
      <c r="AC268" s="11" t="str">
        <f t="shared" si="110"/>
        <v>IoU 50</v>
      </c>
      <c r="AD268" s="11" t="str">
        <f t="shared" si="100"/>
        <v>IoU 50</v>
      </c>
      <c r="AE268" s="11" t="str">
        <f t="shared" si="101"/>
        <v>IoU 25</v>
      </c>
      <c r="AG268" s="11">
        <v>0.42094422284705418</v>
      </c>
      <c r="AH268" s="11">
        <v>0.37676935983738269</v>
      </c>
      <c r="AI268" s="11">
        <v>0.3622398414271556</v>
      </c>
      <c r="AK268" s="11" t="str">
        <f t="shared" si="111"/>
        <v>IoU 50</v>
      </c>
      <c r="AL268" s="11" t="str">
        <f t="shared" si="102"/>
        <v>IoU 50</v>
      </c>
      <c r="AM268" s="11" t="str">
        <f t="shared" si="103"/>
        <v>IoU 50</v>
      </c>
    </row>
    <row r="269" spans="9:39" ht="15" x14ac:dyDescent="0.25">
      <c r="I269">
        <v>0.51611614390213689</v>
      </c>
      <c r="J269">
        <v>0.3311589805825243</v>
      </c>
      <c r="K269">
        <v>0</v>
      </c>
      <c r="M269" s="11" t="str">
        <f t="shared" si="109"/>
        <v>IoU 75</v>
      </c>
      <c r="N269" s="11" t="str">
        <f t="shared" si="96"/>
        <v>IoU 50</v>
      </c>
      <c r="O269" s="11" t="str">
        <f t="shared" si="97"/>
        <v>IoU 25</v>
      </c>
      <c r="Q269">
        <v>0.36208662747541204</v>
      </c>
      <c r="R269">
        <v>0.72425935754897608</v>
      </c>
      <c r="S269">
        <v>0.30098142978700737</v>
      </c>
      <c r="U269" s="11" t="str">
        <f t="shared" si="106"/>
        <v>IoU 50</v>
      </c>
      <c r="V269" s="11" t="str">
        <f t="shared" si="98"/>
        <v>IoU 75</v>
      </c>
      <c r="W269" s="11" t="str">
        <f t="shared" si="99"/>
        <v>IoU 50</v>
      </c>
      <c r="Y269" s="11">
        <v>0.61213900433985713</v>
      </c>
      <c r="Z269" s="11">
        <v>0.32370433305012747</v>
      </c>
      <c r="AA269" s="11">
        <v>0.39347100284407072</v>
      </c>
      <c r="AC269" s="11" t="str">
        <f t="shared" si="110"/>
        <v>IoU 75</v>
      </c>
      <c r="AD269" s="11" t="str">
        <f t="shared" si="100"/>
        <v>IoU 50</v>
      </c>
      <c r="AE269" s="11" t="str">
        <f t="shared" si="101"/>
        <v>IoU 50</v>
      </c>
      <c r="AG269" s="11">
        <v>0.43838481338481339</v>
      </c>
      <c r="AH269" s="11">
        <v>0.40935840555037983</v>
      </c>
      <c r="AI269" s="11">
        <v>0.35345794392523366</v>
      </c>
      <c r="AK269" s="11" t="str">
        <f t="shared" si="111"/>
        <v>IoU 50</v>
      </c>
      <c r="AL269" s="11" t="str">
        <f t="shared" si="102"/>
        <v>IoU 50</v>
      </c>
      <c r="AM269" s="11" t="str">
        <f t="shared" si="103"/>
        <v>IoU 50</v>
      </c>
    </row>
    <row r="270" spans="9:39" ht="15" x14ac:dyDescent="0.25">
      <c r="I270">
        <v>0.79028696779054886</v>
      </c>
      <c r="J270">
        <v>0.3945202293398975</v>
      </c>
      <c r="K270">
        <v>0.36503496503496502</v>
      </c>
      <c r="M270" s="11" t="str">
        <f t="shared" si="109"/>
        <v>IoU 100</v>
      </c>
      <c r="N270" s="11" t="str">
        <f t="shared" si="96"/>
        <v>IoU 50</v>
      </c>
      <c r="O270" s="11" t="str">
        <f t="shared" si="97"/>
        <v>IoU 50</v>
      </c>
      <c r="Q270">
        <v>0.4314680147990006</v>
      </c>
      <c r="R270">
        <v>0.2728020875992922</v>
      </c>
      <c r="S270">
        <v>0.32780453479330474</v>
      </c>
      <c r="U270" s="11" t="str">
        <f t="shared" si="106"/>
        <v>IoU 50</v>
      </c>
      <c r="V270" s="11" t="str">
        <f t="shared" si="98"/>
        <v>IoU 50</v>
      </c>
      <c r="W270" s="11" t="str">
        <f t="shared" si="99"/>
        <v>IoU 50</v>
      </c>
      <c r="Y270" s="11">
        <v>0.64571880416960292</v>
      </c>
      <c r="Z270" s="11">
        <v>0.23002175489485135</v>
      </c>
      <c r="AA270" s="11">
        <v>0.29666666666666669</v>
      </c>
      <c r="AC270" s="11" t="str">
        <f t="shared" si="110"/>
        <v>IoU 75</v>
      </c>
      <c r="AD270" s="11" t="str">
        <f t="shared" si="100"/>
        <v>IoU 25</v>
      </c>
      <c r="AE270" s="11" t="str">
        <f t="shared" si="101"/>
        <v>IoU 50</v>
      </c>
      <c r="AG270" s="11">
        <v>0.85129073802504784</v>
      </c>
      <c r="AH270" s="11">
        <v>0.23561847988077497</v>
      </c>
      <c r="AI270" s="11">
        <v>0.38234227701232776</v>
      </c>
      <c r="AK270" s="11" t="str">
        <f t="shared" si="111"/>
        <v>IoU 100</v>
      </c>
      <c r="AL270" s="11" t="str">
        <f t="shared" si="102"/>
        <v>IoU 25</v>
      </c>
      <c r="AM270" s="11" t="str">
        <f t="shared" si="103"/>
        <v>IoU 50</v>
      </c>
    </row>
    <row r="271" spans="9:39" ht="15" x14ac:dyDescent="0.25">
      <c r="I271">
        <v>0.88060296287997919</v>
      </c>
      <c r="J271">
        <v>0.32113731540665635</v>
      </c>
      <c r="K271">
        <v>0.20593548387096774</v>
      </c>
      <c r="M271" s="11" t="str">
        <f t="shared" si="109"/>
        <v>IoU 100</v>
      </c>
      <c r="N271" s="11" t="str">
        <f t="shared" si="96"/>
        <v>IoU 50</v>
      </c>
      <c r="O271" s="11" t="str">
        <f t="shared" si="97"/>
        <v>IoU 25</v>
      </c>
      <c r="Q271">
        <v>7.575757575757576E-2</v>
      </c>
      <c r="R271">
        <v>0.10166078128448466</v>
      </c>
      <c r="S271">
        <v>7.8101822416033584E-2</v>
      </c>
      <c r="U271" s="11" t="str">
        <f t="shared" si="106"/>
        <v>IoU 25</v>
      </c>
      <c r="V271" s="11" t="str">
        <f t="shared" si="98"/>
        <v>IoU 25</v>
      </c>
      <c r="W271" s="11" t="str">
        <f t="shared" si="99"/>
        <v>IoU 25</v>
      </c>
      <c r="Y271" s="11">
        <v>0.33545038472680883</v>
      </c>
      <c r="Z271" s="11">
        <v>0</v>
      </c>
      <c r="AA271" s="11">
        <v>0.31977681884889175</v>
      </c>
      <c r="AC271" s="11" t="str">
        <f t="shared" si="110"/>
        <v>IoU 50</v>
      </c>
      <c r="AD271" s="11" t="str">
        <f t="shared" si="100"/>
        <v>IoU 25</v>
      </c>
      <c r="AE271" s="11" t="str">
        <f t="shared" si="101"/>
        <v>IoU 50</v>
      </c>
      <c r="AG271" s="11">
        <v>0.90599221880785596</v>
      </c>
      <c r="AH271" s="11">
        <v>0.47522998220175328</v>
      </c>
      <c r="AI271" s="11">
        <v>0.23554442033973166</v>
      </c>
      <c r="AK271" s="11" t="str">
        <f t="shared" si="111"/>
        <v>IoU 100</v>
      </c>
      <c r="AL271" s="11" t="str">
        <f t="shared" si="102"/>
        <v>IoU 50</v>
      </c>
      <c r="AM271" s="11" t="str">
        <f t="shared" si="103"/>
        <v>IoU 25</v>
      </c>
    </row>
    <row r="272" spans="9:39" ht="15" x14ac:dyDescent="0.25">
      <c r="I272">
        <v>0.39443272210030811</v>
      </c>
      <c r="J272">
        <v>0.24299475817835017</v>
      </c>
      <c r="K272">
        <v>5.620537748746772E-2</v>
      </c>
      <c r="M272" s="11" t="str">
        <f t="shared" si="109"/>
        <v>IoU 50</v>
      </c>
      <c r="N272" s="11" t="str">
        <f t="shared" si="96"/>
        <v>IoU 25</v>
      </c>
      <c r="O272" s="11" t="str">
        <f t="shared" si="97"/>
        <v>IoU 25</v>
      </c>
      <c r="Q272">
        <v>6.9094669252755467E-2</v>
      </c>
      <c r="R272">
        <v>0.3514794782045863</v>
      </c>
      <c r="S272">
        <v>0.69426841431222464</v>
      </c>
      <c r="U272" s="11" t="str">
        <f t="shared" si="106"/>
        <v>IoU 25</v>
      </c>
      <c r="V272" s="11" t="str">
        <f t="shared" si="98"/>
        <v>IoU 50</v>
      </c>
      <c r="W272" s="11" t="str">
        <f t="shared" si="99"/>
        <v>IoU 75</v>
      </c>
      <c r="AG272" s="11">
        <v>0.78862279102304178</v>
      </c>
      <c r="AH272" s="11">
        <v>0.31688466111771701</v>
      </c>
      <c r="AI272" s="11">
        <v>0.4107701941139637</v>
      </c>
      <c r="AK272" s="11" t="str">
        <f t="shared" si="111"/>
        <v>IoU 100</v>
      </c>
      <c r="AL272" s="11" t="str">
        <f t="shared" si="102"/>
        <v>IoU 50</v>
      </c>
      <c r="AM272" s="11" t="str">
        <f t="shared" si="103"/>
        <v>IoU 50</v>
      </c>
    </row>
    <row r="273" spans="9:39" ht="15" x14ac:dyDescent="0.25">
      <c r="I273">
        <v>0.8520410392912281</v>
      </c>
      <c r="J273">
        <v>0.351615675663629</v>
      </c>
      <c r="K273">
        <v>0.30806856199639931</v>
      </c>
      <c r="M273" s="11" t="str">
        <f t="shared" si="109"/>
        <v>IoU 100</v>
      </c>
      <c r="N273" s="11" t="str">
        <f t="shared" si="96"/>
        <v>IoU 50</v>
      </c>
      <c r="O273" s="11" t="str">
        <f t="shared" si="97"/>
        <v>IoU 50</v>
      </c>
      <c r="Q273">
        <v>0.44381906170789859</v>
      </c>
      <c r="R273">
        <v>0.54553245765628033</v>
      </c>
      <c r="S273">
        <v>0.38909831081472418</v>
      </c>
      <c r="U273" s="11" t="str">
        <f t="shared" si="106"/>
        <v>IoU 50</v>
      </c>
      <c r="V273" s="11" t="str">
        <f t="shared" si="98"/>
        <v>IoU 75</v>
      </c>
      <c r="W273" s="11" t="str">
        <f t="shared" si="99"/>
        <v>IoU 50</v>
      </c>
      <c r="AG273" s="11">
        <v>0.78517382836125038</v>
      </c>
      <c r="AH273" s="11">
        <v>0.33953383322071601</v>
      </c>
      <c r="AI273" s="11">
        <v>0.55744331929219382</v>
      </c>
      <c r="AK273" s="11" t="str">
        <f t="shared" si="111"/>
        <v>IoU 100</v>
      </c>
      <c r="AL273" s="11" t="str">
        <f t="shared" si="102"/>
        <v>IoU 50</v>
      </c>
      <c r="AM273" s="11" t="str">
        <f t="shared" si="103"/>
        <v>IoU 75</v>
      </c>
    </row>
    <row r="274" spans="9:39" ht="15" x14ac:dyDescent="0.25">
      <c r="I274">
        <v>0.79260567616092659</v>
      </c>
      <c r="J274">
        <v>0.5017414767751941</v>
      </c>
      <c r="K274">
        <v>0.37129256682533868</v>
      </c>
      <c r="M274" s="11" t="str">
        <f t="shared" si="109"/>
        <v>IoU 100</v>
      </c>
      <c r="N274" s="11" t="str">
        <f t="shared" si="96"/>
        <v>IoU 75</v>
      </c>
      <c r="O274" s="11" t="str">
        <f t="shared" si="97"/>
        <v>IoU 50</v>
      </c>
      <c r="Q274">
        <v>0.50830531692540115</v>
      </c>
      <c r="R274">
        <v>0.3046442042695538</v>
      </c>
      <c r="S274">
        <v>0.5426479527909096</v>
      </c>
      <c r="U274" s="11" t="str">
        <f t="shared" si="106"/>
        <v>IoU 75</v>
      </c>
      <c r="V274" s="11" t="str">
        <f t="shared" si="98"/>
        <v>IoU 50</v>
      </c>
      <c r="W274" s="11" t="str">
        <f t="shared" si="99"/>
        <v>IoU 75</v>
      </c>
      <c r="Y274" s="11">
        <v>0.7365354533225279</v>
      </c>
      <c r="Z274" s="11">
        <v>0.30097087378640774</v>
      </c>
      <c r="AA274" s="11">
        <v>0.28408773400391168</v>
      </c>
      <c r="AC274" s="11" t="str">
        <f t="shared" ref="AC274:AC283" si="112">VLOOKUP(Y274,IoU_Thresholds,2,TRUE)</f>
        <v>IoU 75</v>
      </c>
      <c r="AD274" s="11" t="str">
        <f t="shared" si="100"/>
        <v>IoU 50</v>
      </c>
      <c r="AE274" s="11" t="str">
        <f t="shared" si="101"/>
        <v>IoU 50</v>
      </c>
      <c r="AG274" s="11">
        <v>0.7486124963055284</v>
      </c>
      <c r="AH274" s="11">
        <v>0.3855072902295793</v>
      </c>
      <c r="AI274" s="11">
        <v>0.47865373827979701</v>
      </c>
      <c r="AK274" s="11" t="str">
        <f t="shared" si="111"/>
        <v>IoU 75</v>
      </c>
      <c r="AL274" s="11" t="str">
        <f t="shared" si="102"/>
        <v>IoU 50</v>
      </c>
      <c r="AM274" s="11" t="str">
        <f t="shared" si="103"/>
        <v>IoU 50</v>
      </c>
    </row>
    <row r="275" spans="9:39" ht="15" x14ac:dyDescent="0.25">
      <c r="I275">
        <v>0.17679796979595028</v>
      </c>
      <c r="J275">
        <v>0.30044353123738543</v>
      </c>
      <c r="K275">
        <v>0</v>
      </c>
      <c r="M275" s="11" t="str">
        <f t="shared" si="109"/>
        <v>IoU 25</v>
      </c>
      <c r="N275" s="11" t="str">
        <f t="shared" si="96"/>
        <v>IoU 50</v>
      </c>
      <c r="O275" s="11" t="str">
        <f t="shared" si="97"/>
        <v>IoU 25</v>
      </c>
      <c r="Q275">
        <v>0.4290376502427764</v>
      </c>
      <c r="R275">
        <v>0.47919296930789346</v>
      </c>
      <c r="S275">
        <v>0.37664111375451581</v>
      </c>
      <c r="U275" s="11" t="str">
        <f t="shared" si="106"/>
        <v>IoU 50</v>
      </c>
      <c r="V275" s="11" t="str">
        <f t="shared" si="98"/>
        <v>IoU 50</v>
      </c>
      <c r="W275" s="11" t="str">
        <f t="shared" si="99"/>
        <v>IoU 50</v>
      </c>
      <c r="Y275" s="11">
        <v>0.7558469168950126</v>
      </c>
      <c r="Z275" s="11">
        <v>0.4293496554454258</v>
      </c>
      <c r="AA275" s="11">
        <v>0.20830026979844468</v>
      </c>
      <c r="AC275" s="11" t="str">
        <f t="shared" si="112"/>
        <v>IoU 100</v>
      </c>
      <c r="AD275" s="11" t="str">
        <f t="shared" si="100"/>
        <v>IoU 50</v>
      </c>
      <c r="AE275" s="11" t="str">
        <f t="shared" si="101"/>
        <v>IoU 25</v>
      </c>
      <c r="AG275" s="11">
        <v>0.7602141182720803</v>
      </c>
      <c r="AH275" s="11">
        <v>0.31455789669675227</v>
      </c>
      <c r="AI275" s="11">
        <v>0.31298171838315036</v>
      </c>
      <c r="AK275" s="11" t="str">
        <f t="shared" si="111"/>
        <v>IoU 100</v>
      </c>
      <c r="AL275" s="11" t="str">
        <f t="shared" si="102"/>
        <v>IoU 50</v>
      </c>
      <c r="AM275" s="11" t="str">
        <f t="shared" si="103"/>
        <v>IoU 50</v>
      </c>
    </row>
    <row r="276" spans="9:39" ht="15" x14ac:dyDescent="0.25">
      <c r="I276">
        <v>0.85370245985289883</v>
      </c>
      <c r="J276">
        <v>0.65511582151691972</v>
      </c>
      <c r="K276">
        <v>0.29994084007099192</v>
      </c>
      <c r="M276" s="11" t="str">
        <f t="shared" si="109"/>
        <v>IoU 100</v>
      </c>
      <c r="N276" s="11" t="str">
        <f t="shared" si="96"/>
        <v>IoU 75</v>
      </c>
      <c r="O276" s="11" t="str">
        <f t="shared" si="97"/>
        <v>IoU 50</v>
      </c>
      <c r="Q276">
        <v>0.45307618898592938</v>
      </c>
      <c r="R276">
        <v>0.66732567510434904</v>
      </c>
      <c r="S276">
        <v>0.45195390651259698</v>
      </c>
      <c r="U276" s="11" t="str">
        <f t="shared" si="106"/>
        <v>IoU 50</v>
      </c>
      <c r="V276" s="11" t="str">
        <f t="shared" si="98"/>
        <v>IoU 75</v>
      </c>
      <c r="W276" s="11" t="str">
        <f t="shared" si="99"/>
        <v>IoU 50</v>
      </c>
      <c r="Y276" s="11">
        <v>0.42112863808042655</v>
      </c>
      <c r="Z276" s="11">
        <v>0.5013825754195198</v>
      </c>
      <c r="AA276" s="11">
        <v>0.42359550561797754</v>
      </c>
      <c r="AC276" s="11" t="str">
        <f t="shared" si="112"/>
        <v>IoU 50</v>
      </c>
      <c r="AD276" s="11" t="str">
        <f t="shared" si="100"/>
        <v>IoU 75</v>
      </c>
      <c r="AE276" s="11" t="str">
        <f t="shared" si="101"/>
        <v>IoU 50</v>
      </c>
      <c r="AG276" s="11">
        <v>0.43441411530117796</v>
      </c>
      <c r="AH276" s="11">
        <v>0.26447564694744496</v>
      </c>
      <c r="AI276" s="11">
        <v>0.22429669236302271</v>
      </c>
      <c r="AK276" s="11" t="str">
        <f t="shared" si="111"/>
        <v>IoU 50</v>
      </c>
      <c r="AL276" s="11" t="str">
        <f t="shared" si="102"/>
        <v>IoU 50</v>
      </c>
      <c r="AM276" s="11" t="str">
        <f t="shared" si="103"/>
        <v>IoU 25</v>
      </c>
    </row>
    <row r="277" spans="9:39" ht="15" x14ac:dyDescent="0.25">
      <c r="I277">
        <v>0.81532611250582288</v>
      </c>
      <c r="J277">
        <v>0.70396005298411835</v>
      </c>
      <c r="K277">
        <v>0.33791748526522591</v>
      </c>
      <c r="M277" s="11" t="str">
        <f t="shared" si="109"/>
        <v>IoU 100</v>
      </c>
      <c r="N277" s="11" t="str">
        <f t="shared" si="96"/>
        <v>IoU 75</v>
      </c>
      <c r="O277" s="11" t="str">
        <f t="shared" si="97"/>
        <v>IoU 50</v>
      </c>
      <c r="Q277">
        <v>0.44435325832291422</v>
      </c>
      <c r="R277">
        <v>0.49179474695042269</v>
      </c>
      <c r="S277">
        <v>0.23950159957856298</v>
      </c>
      <c r="U277" s="11" t="str">
        <f t="shared" si="106"/>
        <v>IoU 50</v>
      </c>
      <c r="V277" s="11" t="str">
        <f t="shared" si="98"/>
        <v>IoU 50</v>
      </c>
      <c r="W277" s="11" t="str">
        <f t="shared" si="99"/>
        <v>IoU 25</v>
      </c>
      <c r="Y277" s="11">
        <v>0.6259746069657568</v>
      </c>
      <c r="Z277" s="11">
        <v>0.35328848368477178</v>
      </c>
      <c r="AA277" s="11">
        <v>0.32840236686390534</v>
      </c>
      <c r="AC277" s="11" t="str">
        <f t="shared" si="112"/>
        <v>IoU 75</v>
      </c>
      <c r="AD277" s="11" t="str">
        <f t="shared" si="100"/>
        <v>IoU 50</v>
      </c>
      <c r="AE277" s="11" t="str">
        <f t="shared" si="101"/>
        <v>IoU 50</v>
      </c>
      <c r="AG277" s="11">
        <v>0.88829749615754117</v>
      </c>
      <c r="AH277" s="11">
        <v>0.29667890378212242</v>
      </c>
      <c r="AI277" s="11">
        <v>0.37087279242385462</v>
      </c>
      <c r="AK277" s="11" t="str">
        <f t="shared" si="111"/>
        <v>IoU 100</v>
      </c>
      <c r="AL277" s="11" t="str">
        <f t="shared" si="102"/>
        <v>IoU 50</v>
      </c>
      <c r="AM277" s="11" t="str">
        <f t="shared" si="103"/>
        <v>IoU 50</v>
      </c>
    </row>
    <row r="278" spans="9:39" ht="15" x14ac:dyDescent="0.25">
      <c r="I278">
        <v>0.85491238918813273</v>
      </c>
      <c r="J278">
        <v>0.32699879744906557</v>
      </c>
      <c r="K278">
        <v>0.28841531805800352</v>
      </c>
      <c r="M278" s="11" t="str">
        <f t="shared" si="109"/>
        <v>IoU 100</v>
      </c>
      <c r="N278" s="11" t="str">
        <f t="shared" si="96"/>
        <v>IoU 50</v>
      </c>
      <c r="O278" s="11" t="str">
        <f t="shared" si="97"/>
        <v>IoU 50</v>
      </c>
      <c r="Q278">
        <v>0.43622117300141261</v>
      </c>
      <c r="R278">
        <v>0.33889172328804928</v>
      </c>
      <c r="S278">
        <v>0.4031904363605805</v>
      </c>
      <c r="U278" s="11" t="str">
        <f t="shared" si="106"/>
        <v>IoU 50</v>
      </c>
      <c r="V278" s="11" t="str">
        <f t="shared" si="98"/>
        <v>IoU 50</v>
      </c>
      <c r="W278" s="11" t="str">
        <f t="shared" si="99"/>
        <v>IoU 50</v>
      </c>
      <c r="Y278" s="11">
        <v>0.75793958598476829</v>
      </c>
      <c r="Z278" s="11">
        <v>0.25402570832363536</v>
      </c>
      <c r="AA278" s="11">
        <v>0</v>
      </c>
      <c r="AC278" s="11" t="str">
        <f t="shared" si="112"/>
        <v>IoU 100</v>
      </c>
      <c r="AD278" s="11" t="str">
        <f t="shared" si="100"/>
        <v>IoU 50</v>
      </c>
      <c r="AE278" s="11" t="str">
        <f t="shared" si="101"/>
        <v>IoU 25</v>
      </c>
      <c r="AG278" s="11">
        <v>0.78941517170409292</v>
      </c>
      <c r="AH278" s="11">
        <v>0.25978341798224652</v>
      </c>
      <c r="AI278" s="11">
        <v>0.20436038933473283</v>
      </c>
      <c r="AK278" s="11" t="str">
        <f t="shared" si="111"/>
        <v>IoU 100</v>
      </c>
      <c r="AL278" s="11" t="str">
        <f t="shared" si="102"/>
        <v>IoU 50</v>
      </c>
      <c r="AM278" s="11" t="str">
        <f t="shared" si="103"/>
        <v>IoU 25</v>
      </c>
    </row>
    <row r="279" spans="9:39" ht="15" x14ac:dyDescent="0.25">
      <c r="I279">
        <v>0.77207074176637125</v>
      </c>
      <c r="J279">
        <v>0.31722398100514443</v>
      </c>
      <c r="K279">
        <v>0.44696320621372587</v>
      </c>
      <c r="M279" s="11" t="str">
        <f t="shared" si="109"/>
        <v>IoU 100</v>
      </c>
      <c r="N279" s="11" t="str">
        <f t="shared" si="96"/>
        <v>IoU 50</v>
      </c>
      <c r="O279" s="11" t="str">
        <f t="shared" si="97"/>
        <v>IoU 50</v>
      </c>
      <c r="Q279">
        <v>0.41315762860426913</v>
      </c>
      <c r="R279">
        <v>0.35971810576678853</v>
      </c>
      <c r="S279">
        <v>0.4298211931993271</v>
      </c>
      <c r="U279" s="11" t="str">
        <f t="shared" si="106"/>
        <v>IoU 50</v>
      </c>
      <c r="V279" s="11" t="str">
        <f t="shared" si="98"/>
        <v>IoU 50</v>
      </c>
      <c r="W279" s="11" t="str">
        <f t="shared" si="99"/>
        <v>IoU 50</v>
      </c>
      <c r="Y279" s="11">
        <v>0.4431402732345584</v>
      </c>
      <c r="Z279" s="11">
        <v>0.50150683215229708</v>
      </c>
      <c r="AA279" s="11">
        <v>0.36646307606885065</v>
      </c>
      <c r="AC279" s="11" t="str">
        <f t="shared" si="112"/>
        <v>IoU 50</v>
      </c>
      <c r="AD279" s="11" t="str">
        <f t="shared" si="100"/>
        <v>IoU 75</v>
      </c>
      <c r="AE279" s="11" t="str">
        <f t="shared" si="101"/>
        <v>IoU 50</v>
      </c>
      <c r="AG279" s="11">
        <v>0.42770775996233834</v>
      </c>
      <c r="AH279" s="11">
        <v>5.0643679464640164E-2</v>
      </c>
      <c r="AI279" s="11">
        <v>0.30806536045433308</v>
      </c>
      <c r="AK279" s="11" t="str">
        <f t="shared" si="111"/>
        <v>IoU 50</v>
      </c>
      <c r="AL279" s="11" t="str">
        <f t="shared" si="102"/>
        <v>IoU 25</v>
      </c>
      <c r="AM279" s="11" t="str">
        <f t="shared" si="103"/>
        <v>IoU 50</v>
      </c>
    </row>
    <row r="280" spans="9:39" ht="15" x14ac:dyDescent="0.25">
      <c r="I280">
        <v>0.84685140359166888</v>
      </c>
      <c r="J280">
        <v>0.20577292366778685</v>
      </c>
      <c r="K280">
        <v>0.32412319481285001</v>
      </c>
      <c r="M280" s="11" t="str">
        <f t="shared" si="109"/>
        <v>IoU 100</v>
      </c>
      <c r="N280" s="11" t="str">
        <f t="shared" si="96"/>
        <v>IoU 25</v>
      </c>
      <c r="O280" s="11" t="str">
        <f t="shared" si="97"/>
        <v>IoU 50</v>
      </c>
      <c r="Q280">
        <v>0.76956179450453788</v>
      </c>
      <c r="R280">
        <v>0.29337829552421829</v>
      </c>
      <c r="S280">
        <v>0.29436545550289628</v>
      </c>
      <c r="U280" s="11" t="str">
        <f t="shared" si="106"/>
        <v>IoU 100</v>
      </c>
      <c r="V280" s="11" t="str">
        <f t="shared" si="98"/>
        <v>IoU 50</v>
      </c>
      <c r="W280" s="11" t="str">
        <f t="shared" si="99"/>
        <v>IoU 50</v>
      </c>
      <c r="Y280" s="11">
        <v>0.70446566893285378</v>
      </c>
      <c r="Z280" s="11">
        <v>0.30397236614853196</v>
      </c>
      <c r="AA280" s="11">
        <v>0.30966964793492247</v>
      </c>
      <c r="AC280" s="11" t="str">
        <f t="shared" si="112"/>
        <v>IoU 75</v>
      </c>
      <c r="AD280" s="11" t="str">
        <f t="shared" si="100"/>
        <v>IoU 50</v>
      </c>
      <c r="AE280" s="11" t="str">
        <f t="shared" si="101"/>
        <v>IoU 50</v>
      </c>
      <c r="AG280" s="11">
        <v>0.87345595166895862</v>
      </c>
      <c r="AH280" s="11">
        <v>0.46506786839631448</v>
      </c>
      <c r="AI280" s="11">
        <v>0.40109890109890112</v>
      </c>
      <c r="AK280" s="11" t="str">
        <f t="shared" si="111"/>
        <v>IoU 100</v>
      </c>
      <c r="AL280" s="11" t="str">
        <f t="shared" si="102"/>
        <v>IoU 50</v>
      </c>
      <c r="AM280" s="11" t="str">
        <f t="shared" si="103"/>
        <v>IoU 50</v>
      </c>
    </row>
    <row r="281" spans="9:39" ht="15" x14ac:dyDescent="0.25">
      <c r="I281">
        <v>0.83690100777079068</v>
      </c>
      <c r="J281">
        <v>0.54030443102884684</v>
      </c>
      <c r="K281">
        <v>0.25751295336787566</v>
      </c>
      <c r="M281" s="11" t="str">
        <f t="shared" si="109"/>
        <v>IoU 100</v>
      </c>
      <c r="N281" s="11" t="str">
        <f t="shared" si="96"/>
        <v>IoU 75</v>
      </c>
      <c r="O281" s="11" t="str">
        <f t="shared" si="97"/>
        <v>IoU 50</v>
      </c>
      <c r="Q281">
        <v>9.8169931577467423E-2</v>
      </c>
      <c r="R281">
        <v>0</v>
      </c>
      <c r="S281">
        <v>0.45174835852801953</v>
      </c>
      <c r="U281" s="11" t="str">
        <f t="shared" si="106"/>
        <v>IoU 25</v>
      </c>
      <c r="V281" s="11" t="str">
        <f t="shared" si="98"/>
        <v>IoU 25</v>
      </c>
      <c r="W281" s="11" t="str">
        <f t="shared" si="99"/>
        <v>IoU 50</v>
      </c>
      <c r="Y281" s="11">
        <v>0.50523224178021686</v>
      </c>
      <c r="Z281" s="11">
        <v>0.38074634937804219</v>
      </c>
      <c r="AA281" s="11">
        <v>0.34942969334330592</v>
      </c>
      <c r="AC281" s="11" t="str">
        <f t="shared" si="112"/>
        <v>IoU 75</v>
      </c>
      <c r="AD281" s="11" t="str">
        <f t="shared" si="100"/>
        <v>IoU 50</v>
      </c>
      <c r="AE281" s="11" t="str">
        <f t="shared" si="101"/>
        <v>IoU 50</v>
      </c>
      <c r="AG281" s="11">
        <v>0.69498823125056552</v>
      </c>
      <c r="AH281" s="11">
        <v>0</v>
      </c>
      <c r="AI281" s="11">
        <v>0</v>
      </c>
      <c r="AK281" s="11" t="str">
        <f t="shared" si="111"/>
        <v>IoU 75</v>
      </c>
      <c r="AL281" s="11" t="str">
        <f t="shared" si="102"/>
        <v>IoU 25</v>
      </c>
      <c r="AM281" s="11" t="str">
        <f t="shared" si="103"/>
        <v>IoU 25</v>
      </c>
    </row>
    <row r="282" spans="9:39" ht="15" x14ac:dyDescent="0.25">
      <c r="I282">
        <v>0.42059736348830778</v>
      </c>
      <c r="J282">
        <v>0.2991871142556074</v>
      </c>
      <c r="K282">
        <v>0.27459575316551355</v>
      </c>
      <c r="M282" s="11" t="str">
        <f t="shared" si="109"/>
        <v>IoU 50</v>
      </c>
      <c r="N282" s="11" t="str">
        <f t="shared" si="96"/>
        <v>IoU 50</v>
      </c>
      <c r="O282" s="11" t="str">
        <f t="shared" si="97"/>
        <v>IoU 50</v>
      </c>
      <c r="Q282">
        <v>0</v>
      </c>
      <c r="R282">
        <v>0</v>
      </c>
      <c r="S282">
        <v>7.1687184016524519E-2</v>
      </c>
      <c r="U282" s="11" t="str">
        <f t="shared" si="106"/>
        <v>IoU 25</v>
      </c>
      <c r="V282" s="11" t="str">
        <f t="shared" si="98"/>
        <v>IoU 25</v>
      </c>
      <c r="W282" s="11" t="str">
        <f t="shared" si="99"/>
        <v>IoU 25</v>
      </c>
      <c r="Y282" s="11">
        <v>0.40942937920598893</v>
      </c>
      <c r="Z282" s="11">
        <v>0.38585784313725491</v>
      </c>
      <c r="AA282" s="11">
        <v>0.31726596404215746</v>
      </c>
      <c r="AC282" s="11" t="str">
        <f t="shared" si="112"/>
        <v>IoU 50</v>
      </c>
      <c r="AD282" s="11" t="str">
        <f t="shared" si="100"/>
        <v>IoU 50</v>
      </c>
      <c r="AE282" s="11" t="str">
        <f t="shared" si="101"/>
        <v>IoU 50</v>
      </c>
      <c r="AG282" s="11">
        <v>0.76165206348864767</v>
      </c>
      <c r="AH282" s="11">
        <v>0.21919014084507044</v>
      </c>
      <c r="AI282" s="11">
        <v>0.25836820083682011</v>
      </c>
      <c r="AK282" s="11" t="str">
        <f t="shared" si="111"/>
        <v>IoU 100</v>
      </c>
      <c r="AL282" s="11" t="str">
        <f t="shared" si="102"/>
        <v>IoU 25</v>
      </c>
      <c r="AM282" s="11" t="str">
        <f t="shared" si="103"/>
        <v>IoU 50</v>
      </c>
    </row>
    <row r="283" spans="9:39" ht="15" x14ac:dyDescent="0.25">
      <c r="I283">
        <v>0.51500520836113794</v>
      </c>
      <c r="J283">
        <v>1.239159993222704E-3</v>
      </c>
      <c r="K283">
        <v>0.57738481939373065</v>
      </c>
      <c r="M283" s="11" t="str">
        <f t="shared" si="109"/>
        <v>IoU 75</v>
      </c>
      <c r="N283" s="11" t="str">
        <f t="shared" ref="N283:N346" si="113">VLOOKUP(J283,IoU_Thresholds,2,TRUE)</f>
        <v>IoU 25</v>
      </c>
      <c r="O283" s="11" t="str">
        <f t="shared" ref="O283:O346" si="114">VLOOKUP(K283,IoU_Thresholds,2,TRUE)</f>
        <v>IoU 75</v>
      </c>
      <c r="Q283">
        <v>0.43338528098015544</v>
      </c>
      <c r="R283">
        <v>0.48797088768891184</v>
      </c>
      <c r="S283">
        <v>0.63955502925395491</v>
      </c>
      <c r="U283" s="11" t="str">
        <f t="shared" si="106"/>
        <v>IoU 50</v>
      </c>
      <c r="V283" s="11" t="str">
        <f t="shared" ref="V283:V346" si="115">VLOOKUP(R283,IoU_Thresholds,2,TRUE)</f>
        <v>IoU 50</v>
      </c>
      <c r="W283" s="11" t="str">
        <f t="shared" ref="W283:W346" si="116">VLOOKUP(S283,IoU_Thresholds,2,TRUE)</f>
        <v>IoU 75</v>
      </c>
      <c r="Y283" s="11">
        <v>0.2014417774479231</v>
      </c>
      <c r="Z283" s="11">
        <v>0.10680707884150505</v>
      </c>
      <c r="AA283" s="11">
        <v>0.11014791291162418</v>
      </c>
      <c r="AC283" s="11" t="str">
        <f t="shared" si="112"/>
        <v>IoU 25</v>
      </c>
      <c r="AD283" s="11" t="str">
        <f t="shared" ref="AD283:AD346" si="117">VLOOKUP(Z283,IoU_Thresholds,2,TRUE)</f>
        <v>IoU 25</v>
      </c>
      <c r="AE283" s="11" t="str">
        <f t="shared" ref="AE283:AE346" si="118">VLOOKUP(AA283,IoU_Thresholds,2,TRUE)</f>
        <v>IoU 25</v>
      </c>
      <c r="AG283" s="11">
        <v>0.82978674905505423</v>
      </c>
      <c r="AH283" s="11">
        <v>0.33761039481827215</v>
      </c>
      <c r="AI283" s="11">
        <v>0.21476423832248132</v>
      </c>
      <c r="AK283" s="11" t="str">
        <f t="shared" si="111"/>
        <v>IoU 100</v>
      </c>
      <c r="AL283" s="11" t="str">
        <f t="shared" ref="AL283:AL346" si="119">VLOOKUP(AH283,IoU_Thresholds,2,TRUE)</f>
        <v>IoU 50</v>
      </c>
      <c r="AM283" s="11" t="str">
        <f t="shared" ref="AM283:AM346" si="120">VLOOKUP(AI283,IoU_Thresholds,2,TRUE)</f>
        <v>IoU 25</v>
      </c>
    </row>
    <row r="284" spans="9:39" ht="15" x14ac:dyDescent="0.25">
      <c r="I284">
        <v>0.8910099028565468</v>
      </c>
      <c r="J284">
        <v>0.31730433699574029</v>
      </c>
      <c r="K284">
        <v>0.36408450459402081</v>
      </c>
      <c r="M284" s="11" t="str">
        <f t="shared" si="109"/>
        <v>IoU 100</v>
      </c>
      <c r="N284" s="11" t="str">
        <f t="shared" si="113"/>
        <v>IoU 50</v>
      </c>
      <c r="O284" s="11" t="str">
        <f t="shared" si="114"/>
        <v>IoU 50</v>
      </c>
      <c r="Q284">
        <v>0.51634021490828796</v>
      </c>
      <c r="R284">
        <v>0.26361532187000714</v>
      </c>
      <c r="S284">
        <v>0.28485014873065528</v>
      </c>
      <c r="U284" s="11" t="str">
        <f t="shared" si="106"/>
        <v>IoU 75</v>
      </c>
      <c r="V284" s="11" t="str">
        <f t="shared" si="115"/>
        <v>IoU 50</v>
      </c>
      <c r="W284" s="11" t="str">
        <f t="shared" si="116"/>
        <v>IoU 50</v>
      </c>
      <c r="AG284" s="11">
        <v>0.4496619083395943</v>
      </c>
      <c r="AH284" s="11">
        <v>0.73616986938922147</v>
      </c>
      <c r="AI284" s="11">
        <v>0.42969709191124794</v>
      </c>
      <c r="AK284" s="11" t="str">
        <f t="shared" si="111"/>
        <v>IoU 50</v>
      </c>
      <c r="AL284" s="11" t="str">
        <f t="shared" si="119"/>
        <v>IoU 75</v>
      </c>
      <c r="AM284" s="11" t="str">
        <f t="shared" si="120"/>
        <v>IoU 50</v>
      </c>
    </row>
    <row r="285" spans="9:39" ht="15" x14ac:dyDescent="0.25">
      <c r="I285">
        <v>0.50711484556519837</v>
      </c>
      <c r="J285">
        <v>0</v>
      </c>
      <c r="K285">
        <v>0.39460151122434373</v>
      </c>
      <c r="M285" s="11" t="str">
        <f t="shared" si="109"/>
        <v>IoU 75</v>
      </c>
      <c r="N285" s="11" t="str">
        <f t="shared" si="113"/>
        <v>IoU 25</v>
      </c>
      <c r="O285" s="11" t="str">
        <f t="shared" si="114"/>
        <v>IoU 50</v>
      </c>
      <c r="Q285">
        <v>0.45084429991988789</v>
      </c>
      <c r="R285">
        <v>0.63653861808450241</v>
      </c>
      <c r="S285">
        <v>0.37137184570599252</v>
      </c>
      <c r="U285" s="11" t="str">
        <f t="shared" si="106"/>
        <v>IoU 50</v>
      </c>
      <c r="V285" s="11" t="str">
        <f t="shared" si="115"/>
        <v>IoU 75</v>
      </c>
      <c r="W285" s="11" t="str">
        <f t="shared" si="116"/>
        <v>IoU 50</v>
      </c>
      <c r="Y285" s="11">
        <v>0.1427293592086227</v>
      </c>
      <c r="Z285" s="11">
        <v>0.40199033834052444</v>
      </c>
      <c r="AA285" s="11">
        <v>0.42496494373900751</v>
      </c>
      <c r="AC285" s="11" t="str">
        <f t="shared" ref="AC285:AC315" si="121">VLOOKUP(Y285,IoU_Thresholds,2,TRUE)</f>
        <v>IoU 25</v>
      </c>
      <c r="AD285" s="11" t="str">
        <f t="shared" si="117"/>
        <v>IoU 50</v>
      </c>
      <c r="AE285" s="11" t="str">
        <f t="shared" si="118"/>
        <v>IoU 50</v>
      </c>
      <c r="AG285" s="11">
        <v>4.7059976740299374E-2</v>
      </c>
      <c r="AH285" s="11">
        <v>0</v>
      </c>
      <c r="AI285" s="11">
        <v>3.5565715022813721E-2</v>
      </c>
      <c r="AK285" s="11" t="str">
        <f t="shared" si="111"/>
        <v>IoU 25</v>
      </c>
      <c r="AL285" s="11" t="str">
        <f t="shared" si="119"/>
        <v>IoU 25</v>
      </c>
      <c r="AM285" s="11" t="str">
        <f t="shared" si="120"/>
        <v>IoU 25</v>
      </c>
    </row>
    <row r="286" spans="9:39" ht="15" x14ac:dyDescent="0.25">
      <c r="I286">
        <v>0.81582100006316582</v>
      </c>
      <c r="J286">
        <v>0.58643725720737527</v>
      </c>
      <c r="K286">
        <v>0.38994218668548791</v>
      </c>
      <c r="M286" s="11" t="str">
        <f t="shared" si="109"/>
        <v>IoU 100</v>
      </c>
      <c r="N286" s="11" t="str">
        <f t="shared" si="113"/>
        <v>IoU 75</v>
      </c>
      <c r="O286" s="11" t="str">
        <f t="shared" si="114"/>
        <v>IoU 50</v>
      </c>
      <c r="Q286">
        <v>0.41153444670599981</v>
      </c>
      <c r="R286">
        <v>0.62940111123814768</v>
      </c>
      <c r="S286">
        <v>0.42726464649402141</v>
      </c>
      <c r="U286" s="11" t="str">
        <f t="shared" si="106"/>
        <v>IoU 50</v>
      </c>
      <c r="V286" s="11" t="str">
        <f t="shared" si="115"/>
        <v>IoU 75</v>
      </c>
      <c r="W286" s="11" t="str">
        <f t="shared" si="116"/>
        <v>IoU 50</v>
      </c>
      <c r="Y286" s="11">
        <v>5.8136585365853657E-2</v>
      </c>
      <c r="Z286" s="11">
        <v>0.33883042125625662</v>
      </c>
      <c r="AA286" s="11">
        <v>0.10644442645808527</v>
      </c>
      <c r="AC286" s="11" t="str">
        <f t="shared" si="121"/>
        <v>IoU 25</v>
      </c>
      <c r="AD286" s="11" t="str">
        <f t="shared" si="117"/>
        <v>IoU 50</v>
      </c>
      <c r="AE286" s="11" t="str">
        <f t="shared" si="118"/>
        <v>IoU 25</v>
      </c>
      <c r="AG286" s="11">
        <v>0.41275806059792403</v>
      </c>
      <c r="AH286" s="11">
        <v>7.5517707082833133E-2</v>
      </c>
      <c r="AI286" s="11">
        <v>0</v>
      </c>
      <c r="AK286" s="11" t="str">
        <f t="shared" si="111"/>
        <v>IoU 50</v>
      </c>
      <c r="AL286" s="11" t="str">
        <f t="shared" si="119"/>
        <v>IoU 25</v>
      </c>
      <c r="AM286" s="11" t="str">
        <f t="shared" si="120"/>
        <v>IoU 25</v>
      </c>
    </row>
    <row r="287" spans="9:39" ht="15" x14ac:dyDescent="0.25">
      <c r="I287">
        <v>0.45463928399228543</v>
      </c>
      <c r="J287">
        <v>0.49446281624515087</v>
      </c>
      <c r="K287">
        <v>0.24633499688084842</v>
      </c>
      <c r="M287" s="11" t="str">
        <f t="shared" si="109"/>
        <v>IoU 50</v>
      </c>
      <c r="N287" s="11" t="str">
        <f t="shared" si="113"/>
        <v>IoU 50</v>
      </c>
      <c r="O287" s="11" t="str">
        <f t="shared" si="114"/>
        <v>IoU 25</v>
      </c>
      <c r="Q287">
        <v>0.80778873149038288</v>
      </c>
      <c r="R287">
        <v>0.36360182370820671</v>
      </c>
      <c r="S287">
        <v>0.3956320317670417</v>
      </c>
      <c r="U287" s="11" t="str">
        <f t="shared" si="106"/>
        <v>IoU 100</v>
      </c>
      <c r="V287" s="11" t="str">
        <f t="shared" si="115"/>
        <v>IoU 50</v>
      </c>
      <c r="W287" s="11" t="str">
        <f t="shared" si="116"/>
        <v>IoU 50</v>
      </c>
      <c r="Y287" s="11">
        <v>0</v>
      </c>
      <c r="Z287" s="11">
        <v>5.0794164070986601E-2</v>
      </c>
      <c r="AA287" s="11">
        <v>0</v>
      </c>
      <c r="AC287" s="11" t="str">
        <f t="shared" si="121"/>
        <v>IoU 25</v>
      </c>
      <c r="AD287" s="11" t="str">
        <f t="shared" si="117"/>
        <v>IoU 25</v>
      </c>
      <c r="AE287" s="11" t="str">
        <f t="shared" si="118"/>
        <v>IoU 25</v>
      </c>
      <c r="AG287" s="11">
        <v>0.75814968181977815</v>
      </c>
      <c r="AH287" s="11">
        <v>0.42623254262883847</v>
      </c>
      <c r="AI287" s="11">
        <v>0.17798300102177761</v>
      </c>
      <c r="AK287" s="11" t="str">
        <f t="shared" si="111"/>
        <v>IoU 100</v>
      </c>
      <c r="AL287" s="11" t="str">
        <f t="shared" si="119"/>
        <v>IoU 50</v>
      </c>
      <c r="AM287" s="11" t="str">
        <f t="shared" si="120"/>
        <v>IoU 25</v>
      </c>
    </row>
    <row r="288" spans="9:39" ht="15" x14ac:dyDescent="0.25">
      <c r="I288"/>
      <c r="J288"/>
      <c r="K288"/>
      <c r="Q288">
        <v>0.43073355619872766</v>
      </c>
      <c r="R288">
        <v>0.7384969426177308</v>
      </c>
      <c r="S288">
        <v>0.25366771807645094</v>
      </c>
      <c r="U288" s="11" t="str">
        <f t="shared" ref="U288:U319" si="122">VLOOKUP(Q288,IoU_Thresholds,2,TRUE)</f>
        <v>IoU 50</v>
      </c>
      <c r="V288" s="11" t="str">
        <f t="shared" si="115"/>
        <v>IoU 75</v>
      </c>
      <c r="W288" s="11" t="str">
        <f t="shared" si="116"/>
        <v>IoU 50</v>
      </c>
      <c r="Y288" s="11">
        <v>0.1742206008740535</v>
      </c>
      <c r="Z288" s="11">
        <v>0</v>
      </c>
      <c r="AA288" s="11">
        <v>0</v>
      </c>
      <c r="AC288" s="11" t="str">
        <f t="shared" si="121"/>
        <v>IoU 25</v>
      </c>
      <c r="AD288" s="11" t="str">
        <f t="shared" si="117"/>
        <v>IoU 25</v>
      </c>
      <c r="AE288" s="11" t="str">
        <f t="shared" si="118"/>
        <v>IoU 25</v>
      </c>
      <c r="AG288" s="11">
        <v>0.44063463418302129</v>
      </c>
      <c r="AH288" s="11">
        <v>0.51324843096663275</v>
      </c>
      <c r="AI288" s="11">
        <v>0.39361462668029146</v>
      </c>
      <c r="AK288" s="11" t="str">
        <f t="shared" si="111"/>
        <v>IoU 50</v>
      </c>
      <c r="AL288" s="11" t="str">
        <f t="shared" si="119"/>
        <v>IoU 75</v>
      </c>
      <c r="AM288" s="11" t="str">
        <f t="shared" si="120"/>
        <v>IoU 50</v>
      </c>
    </row>
    <row r="289" spans="9:39" ht="15" x14ac:dyDescent="0.25">
      <c r="I289">
        <v>0.82018896909990535</v>
      </c>
      <c r="J289">
        <v>0.63400544363746536</v>
      </c>
      <c r="K289">
        <v>0.35456620057294597</v>
      </c>
      <c r="M289" s="11" t="str">
        <f t="shared" ref="M289:M320" si="123">VLOOKUP(I289,IoU_Thresholds,2,TRUE)</f>
        <v>IoU 100</v>
      </c>
      <c r="N289" s="11" t="str">
        <f t="shared" si="113"/>
        <v>IoU 75</v>
      </c>
      <c r="O289" s="11" t="str">
        <f t="shared" si="114"/>
        <v>IoU 50</v>
      </c>
      <c r="Q289">
        <v>0.46820837389849013</v>
      </c>
      <c r="R289">
        <v>0.48689743043375244</v>
      </c>
      <c r="S289">
        <v>0.32736866634309991</v>
      </c>
      <c r="U289" s="11" t="str">
        <f t="shared" si="122"/>
        <v>IoU 50</v>
      </c>
      <c r="V289" s="11" t="str">
        <f t="shared" si="115"/>
        <v>IoU 50</v>
      </c>
      <c r="W289" s="11" t="str">
        <f t="shared" si="116"/>
        <v>IoU 50</v>
      </c>
      <c r="Y289" s="11">
        <v>0.78394175107151787</v>
      </c>
      <c r="Z289" s="11">
        <v>0.26885482045477932</v>
      </c>
      <c r="AA289" s="11">
        <v>0.20497857881518688</v>
      </c>
      <c r="AC289" s="11" t="str">
        <f t="shared" si="121"/>
        <v>IoU 100</v>
      </c>
      <c r="AD289" s="11" t="str">
        <f t="shared" si="117"/>
        <v>IoU 50</v>
      </c>
      <c r="AE289" s="11" t="str">
        <f t="shared" si="118"/>
        <v>IoU 25</v>
      </c>
      <c r="AG289" s="11">
        <v>0.82900910461635813</v>
      </c>
      <c r="AH289" s="11">
        <v>0.70837410340924145</v>
      </c>
      <c r="AI289" s="11">
        <v>0.21807899545928319</v>
      </c>
      <c r="AK289" s="11" t="str">
        <f t="shared" si="111"/>
        <v>IoU 100</v>
      </c>
      <c r="AL289" s="11" t="str">
        <f t="shared" si="119"/>
        <v>IoU 75</v>
      </c>
      <c r="AM289" s="11" t="str">
        <f t="shared" si="120"/>
        <v>IoU 25</v>
      </c>
    </row>
    <row r="290" spans="9:39" ht="15" x14ac:dyDescent="0.25">
      <c r="I290">
        <v>0.91401861706695287</v>
      </c>
      <c r="J290">
        <v>0.62288155917868981</v>
      </c>
      <c r="K290">
        <v>0.47188417634806573</v>
      </c>
      <c r="M290" s="11" t="str">
        <f t="shared" si="123"/>
        <v>IoU 100</v>
      </c>
      <c r="N290" s="11" t="str">
        <f t="shared" si="113"/>
        <v>IoU 75</v>
      </c>
      <c r="O290" s="11" t="str">
        <f t="shared" si="114"/>
        <v>IoU 50</v>
      </c>
      <c r="Q290">
        <v>0.43909120206252017</v>
      </c>
      <c r="R290">
        <v>0.40975609756097559</v>
      </c>
      <c r="S290">
        <v>0.43834598944294767</v>
      </c>
      <c r="U290" s="11" t="str">
        <f t="shared" si="122"/>
        <v>IoU 50</v>
      </c>
      <c r="V290" s="11" t="str">
        <f t="shared" si="115"/>
        <v>IoU 50</v>
      </c>
      <c r="W290" s="11" t="str">
        <f t="shared" si="116"/>
        <v>IoU 50</v>
      </c>
      <c r="Y290" s="11">
        <v>0.7224789977167787</v>
      </c>
      <c r="Z290" s="11">
        <v>0.27250724975539203</v>
      </c>
      <c r="AA290" s="11">
        <v>0.35972537831449503</v>
      </c>
      <c r="AC290" s="11" t="str">
        <f t="shared" si="121"/>
        <v>IoU 75</v>
      </c>
      <c r="AD290" s="11" t="str">
        <f t="shared" si="117"/>
        <v>IoU 50</v>
      </c>
      <c r="AE290" s="11" t="str">
        <f t="shared" si="118"/>
        <v>IoU 50</v>
      </c>
      <c r="AG290" s="11">
        <v>0.81752618318621351</v>
      </c>
      <c r="AH290" s="11">
        <v>0.51554667488778128</v>
      </c>
      <c r="AI290" s="11">
        <v>0.25038328134736465</v>
      </c>
      <c r="AK290" s="11" t="str">
        <f t="shared" si="111"/>
        <v>IoU 100</v>
      </c>
      <c r="AL290" s="11" t="str">
        <f t="shared" si="119"/>
        <v>IoU 75</v>
      </c>
      <c r="AM290" s="11" t="str">
        <f t="shared" si="120"/>
        <v>IoU 50</v>
      </c>
    </row>
    <row r="291" spans="9:39" ht="15" x14ac:dyDescent="0.25">
      <c r="I291">
        <v>0.45896644622821725</v>
      </c>
      <c r="J291">
        <v>0.14626229840456567</v>
      </c>
      <c r="K291">
        <v>0</v>
      </c>
      <c r="M291" s="11" t="str">
        <f t="shared" si="123"/>
        <v>IoU 50</v>
      </c>
      <c r="N291" s="11" t="str">
        <f t="shared" si="113"/>
        <v>IoU 25</v>
      </c>
      <c r="O291" s="11" t="str">
        <f t="shared" si="114"/>
        <v>IoU 25</v>
      </c>
      <c r="Q291">
        <v>0.44574762540291518</v>
      </c>
      <c r="R291">
        <v>0.67433603107133977</v>
      </c>
      <c r="S291">
        <v>5.9583854687485997E-2</v>
      </c>
      <c r="U291" s="11" t="str">
        <f t="shared" si="122"/>
        <v>IoU 50</v>
      </c>
      <c r="V291" s="11" t="str">
        <f t="shared" si="115"/>
        <v>IoU 75</v>
      </c>
      <c r="W291" s="11" t="str">
        <f t="shared" si="116"/>
        <v>IoU 25</v>
      </c>
      <c r="Y291" s="11">
        <v>0.41301972082857286</v>
      </c>
      <c r="Z291" s="11">
        <v>0.38104685521317011</v>
      </c>
      <c r="AA291" s="11">
        <v>0.37135469041804336</v>
      </c>
      <c r="AC291" s="11" t="str">
        <f t="shared" si="121"/>
        <v>IoU 50</v>
      </c>
      <c r="AD291" s="11" t="str">
        <f t="shared" si="117"/>
        <v>IoU 50</v>
      </c>
      <c r="AE291" s="11" t="str">
        <f t="shared" si="118"/>
        <v>IoU 50</v>
      </c>
      <c r="AG291" s="11">
        <v>0.79730139247009513</v>
      </c>
      <c r="AH291" s="11">
        <v>0.43688780053428317</v>
      </c>
      <c r="AI291" s="11">
        <v>0.34686567164179105</v>
      </c>
      <c r="AK291" s="11" t="str">
        <f t="shared" si="111"/>
        <v>IoU 100</v>
      </c>
      <c r="AL291" s="11" t="str">
        <f t="shared" si="119"/>
        <v>IoU 50</v>
      </c>
      <c r="AM291" s="11" t="str">
        <f t="shared" si="120"/>
        <v>IoU 50</v>
      </c>
    </row>
    <row r="292" spans="9:39" ht="15" x14ac:dyDescent="0.25">
      <c r="I292">
        <v>0.46532367025684074</v>
      </c>
      <c r="J292">
        <v>0.42262147471273404</v>
      </c>
      <c r="K292">
        <v>0.30313302162136796</v>
      </c>
      <c r="M292" s="11" t="str">
        <f t="shared" si="123"/>
        <v>IoU 50</v>
      </c>
      <c r="N292" s="11" t="str">
        <f t="shared" si="113"/>
        <v>IoU 50</v>
      </c>
      <c r="O292" s="11" t="str">
        <f t="shared" si="114"/>
        <v>IoU 50</v>
      </c>
      <c r="Q292">
        <v>0</v>
      </c>
      <c r="R292">
        <v>0.25691582437103255</v>
      </c>
      <c r="S292">
        <v>9.3737716171158475E-2</v>
      </c>
      <c r="U292" s="11" t="str">
        <f t="shared" si="122"/>
        <v>IoU 25</v>
      </c>
      <c r="V292" s="11" t="str">
        <f t="shared" si="115"/>
        <v>IoU 50</v>
      </c>
      <c r="W292" s="11" t="str">
        <f t="shared" si="116"/>
        <v>IoU 25</v>
      </c>
      <c r="Y292" s="11">
        <v>0.43571124251058752</v>
      </c>
      <c r="Z292" s="11">
        <v>0.46270257288422156</v>
      </c>
      <c r="AA292" s="11">
        <v>0</v>
      </c>
      <c r="AC292" s="11" t="str">
        <f t="shared" si="121"/>
        <v>IoU 50</v>
      </c>
      <c r="AD292" s="11" t="str">
        <f t="shared" si="117"/>
        <v>IoU 50</v>
      </c>
      <c r="AE292" s="11" t="str">
        <f t="shared" si="118"/>
        <v>IoU 25</v>
      </c>
      <c r="AG292" s="11">
        <v>0.80828389448281568</v>
      </c>
      <c r="AH292" s="11">
        <v>0.40217418078476891</v>
      </c>
      <c r="AI292" s="11">
        <v>0.32899803589030674</v>
      </c>
      <c r="AK292" s="11" t="str">
        <f t="shared" si="111"/>
        <v>IoU 100</v>
      </c>
      <c r="AL292" s="11" t="str">
        <f t="shared" si="119"/>
        <v>IoU 50</v>
      </c>
      <c r="AM292" s="11" t="str">
        <f t="shared" si="120"/>
        <v>IoU 50</v>
      </c>
    </row>
    <row r="293" spans="9:39" ht="15" x14ac:dyDescent="0.25">
      <c r="I293">
        <v>0.57070176298067232</v>
      </c>
      <c r="J293">
        <v>0.38844147766821679</v>
      </c>
      <c r="K293">
        <v>0.32061703306853873</v>
      </c>
      <c r="M293" s="11" t="str">
        <f t="shared" si="123"/>
        <v>IoU 75</v>
      </c>
      <c r="N293" s="11" t="str">
        <f t="shared" si="113"/>
        <v>IoU 50</v>
      </c>
      <c r="O293" s="11" t="str">
        <f t="shared" si="114"/>
        <v>IoU 50</v>
      </c>
      <c r="Q293">
        <v>0.36188941948104253</v>
      </c>
      <c r="R293">
        <v>0.49908483656842584</v>
      </c>
      <c r="S293">
        <v>0</v>
      </c>
      <c r="U293" s="11" t="str">
        <f t="shared" si="122"/>
        <v>IoU 50</v>
      </c>
      <c r="V293" s="11" t="str">
        <f t="shared" si="115"/>
        <v>IoU 50</v>
      </c>
      <c r="W293" s="11" t="str">
        <f t="shared" si="116"/>
        <v>IoU 25</v>
      </c>
      <c r="Y293" s="11">
        <v>0.85132215472503914</v>
      </c>
      <c r="Z293" s="11">
        <v>0.38801797516240838</v>
      </c>
      <c r="AA293" s="11">
        <v>0.29301277235161532</v>
      </c>
      <c r="AC293" s="11" t="str">
        <f t="shared" si="121"/>
        <v>IoU 100</v>
      </c>
      <c r="AD293" s="11" t="str">
        <f t="shared" si="117"/>
        <v>IoU 50</v>
      </c>
      <c r="AE293" s="11" t="str">
        <f t="shared" si="118"/>
        <v>IoU 50</v>
      </c>
      <c r="AG293" s="11">
        <v>0.81007420498128158</v>
      </c>
      <c r="AH293" s="11">
        <v>0.44455606711161177</v>
      </c>
      <c r="AI293" s="11">
        <v>0.26729445852951828</v>
      </c>
      <c r="AK293" s="11" t="str">
        <f t="shared" si="111"/>
        <v>IoU 100</v>
      </c>
      <c r="AL293" s="11" t="str">
        <f t="shared" si="119"/>
        <v>IoU 50</v>
      </c>
      <c r="AM293" s="11" t="str">
        <f t="shared" si="120"/>
        <v>IoU 50</v>
      </c>
    </row>
    <row r="294" spans="9:39" ht="15" x14ac:dyDescent="0.25">
      <c r="I294">
        <v>0.45318286632660193</v>
      </c>
      <c r="J294">
        <v>0.38266977560053028</v>
      </c>
      <c r="K294">
        <v>0.2544951590594744</v>
      </c>
      <c r="M294" s="11" t="str">
        <f t="shared" si="123"/>
        <v>IoU 50</v>
      </c>
      <c r="N294" s="11" t="str">
        <f t="shared" si="113"/>
        <v>IoU 50</v>
      </c>
      <c r="O294" s="11" t="str">
        <f t="shared" si="114"/>
        <v>IoU 50</v>
      </c>
      <c r="Q294">
        <v>0.43973078136502258</v>
      </c>
      <c r="R294">
        <v>0.47181201486530422</v>
      </c>
      <c r="S294">
        <v>0.25573314801945796</v>
      </c>
      <c r="U294" s="11" t="str">
        <f t="shared" si="122"/>
        <v>IoU 50</v>
      </c>
      <c r="V294" s="11" t="str">
        <f t="shared" si="115"/>
        <v>IoU 50</v>
      </c>
      <c r="W294" s="11" t="str">
        <f t="shared" si="116"/>
        <v>IoU 50</v>
      </c>
      <c r="Y294" s="11">
        <v>0.81106449244721257</v>
      </c>
      <c r="Z294" s="11">
        <v>0.39030846390629487</v>
      </c>
      <c r="AA294" s="11">
        <v>0.29019548966963121</v>
      </c>
      <c r="AC294" s="11" t="str">
        <f t="shared" si="121"/>
        <v>IoU 100</v>
      </c>
      <c r="AD294" s="11" t="str">
        <f t="shared" si="117"/>
        <v>IoU 50</v>
      </c>
      <c r="AE294" s="11" t="str">
        <f t="shared" si="118"/>
        <v>IoU 50</v>
      </c>
      <c r="AG294" s="11">
        <v>0.43065506311832208</v>
      </c>
      <c r="AH294" s="11">
        <v>0</v>
      </c>
      <c r="AI294" s="11">
        <v>0.23248589335464193</v>
      </c>
      <c r="AK294" s="11" t="str">
        <f t="shared" si="111"/>
        <v>IoU 50</v>
      </c>
      <c r="AL294" s="11" t="str">
        <f t="shared" si="119"/>
        <v>IoU 25</v>
      </c>
      <c r="AM294" s="11" t="str">
        <f t="shared" si="120"/>
        <v>IoU 25</v>
      </c>
    </row>
    <row r="295" spans="9:39" ht="15" x14ac:dyDescent="0.25">
      <c r="I295">
        <v>0.45559941228493916</v>
      </c>
      <c r="J295">
        <v>0.44096351486935303</v>
      </c>
      <c r="K295">
        <v>0.33792594144925142</v>
      </c>
      <c r="M295" s="11" t="str">
        <f t="shared" si="123"/>
        <v>IoU 50</v>
      </c>
      <c r="N295" s="11" t="str">
        <f t="shared" si="113"/>
        <v>IoU 50</v>
      </c>
      <c r="O295" s="11" t="str">
        <f t="shared" si="114"/>
        <v>IoU 50</v>
      </c>
      <c r="Q295">
        <v>0.42271712233689418</v>
      </c>
      <c r="R295">
        <v>0.41957213458804415</v>
      </c>
      <c r="S295">
        <v>0.39001456760693948</v>
      </c>
      <c r="U295" s="11" t="str">
        <f t="shared" si="122"/>
        <v>IoU 50</v>
      </c>
      <c r="V295" s="11" t="str">
        <f t="shared" si="115"/>
        <v>IoU 50</v>
      </c>
      <c r="W295" s="11" t="str">
        <f t="shared" si="116"/>
        <v>IoU 50</v>
      </c>
      <c r="Y295" s="11">
        <v>0.64950272425748601</v>
      </c>
      <c r="Z295" s="11">
        <v>0</v>
      </c>
      <c r="AA295" s="11">
        <v>0.46267628823654866</v>
      </c>
      <c r="AC295" s="11" t="str">
        <f t="shared" si="121"/>
        <v>IoU 75</v>
      </c>
      <c r="AD295" s="11" t="str">
        <f t="shared" si="117"/>
        <v>IoU 25</v>
      </c>
      <c r="AE295" s="11" t="str">
        <f t="shared" si="118"/>
        <v>IoU 50</v>
      </c>
      <c r="AG295" s="11">
        <v>0.45213525835866264</v>
      </c>
      <c r="AH295" s="11">
        <v>0.28621659634317864</v>
      </c>
      <c r="AI295" s="11">
        <v>0.34526558891454967</v>
      </c>
      <c r="AK295" s="11" t="str">
        <f t="shared" si="111"/>
        <v>IoU 50</v>
      </c>
      <c r="AL295" s="11" t="str">
        <f t="shared" si="119"/>
        <v>IoU 50</v>
      </c>
      <c r="AM295" s="11" t="str">
        <f t="shared" si="120"/>
        <v>IoU 50</v>
      </c>
    </row>
    <row r="296" spans="9:39" ht="15" x14ac:dyDescent="0.25">
      <c r="I296">
        <v>0.84196391869244325</v>
      </c>
      <c r="J296">
        <v>0.38023853813327496</v>
      </c>
      <c r="K296">
        <v>0.32557011159631249</v>
      </c>
      <c r="M296" s="11" t="str">
        <f t="shared" si="123"/>
        <v>IoU 100</v>
      </c>
      <c r="N296" s="11" t="str">
        <f t="shared" si="113"/>
        <v>IoU 50</v>
      </c>
      <c r="O296" s="11" t="str">
        <f t="shared" si="114"/>
        <v>IoU 50</v>
      </c>
      <c r="Q296">
        <v>0.40425539667932819</v>
      </c>
      <c r="R296">
        <v>0.76763825651309547</v>
      </c>
      <c r="S296">
        <v>0.24305983160379388</v>
      </c>
      <c r="U296" s="11" t="str">
        <f t="shared" si="122"/>
        <v>IoU 50</v>
      </c>
      <c r="V296" s="11" t="str">
        <f t="shared" si="115"/>
        <v>IoU 100</v>
      </c>
      <c r="W296" s="11" t="str">
        <f t="shared" si="116"/>
        <v>IoU 25</v>
      </c>
      <c r="Y296" s="11">
        <v>0.42755400433921326</v>
      </c>
      <c r="Z296" s="11">
        <v>0.34660574412532635</v>
      </c>
      <c r="AA296" s="11">
        <v>0.37617924528301888</v>
      </c>
      <c r="AC296" s="11" t="str">
        <f t="shared" si="121"/>
        <v>IoU 50</v>
      </c>
      <c r="AD296" s="11" t="str">
        <f t="shared" si="117"/>
        <v>IoU 50</v>
      </c>
      <c r="AE296" s="11" t="str">
        <f t="shared" si="118"/>
        <v>IoU 50</v>
      </c>
      <c r="AG296" s="11">
        <v>0.6407274746242001</v>
      </c>
      <c r="AH296" s="11">
        <v>0.41282950011333613</v>
      </c>
      <c r="AI296" s="11">
        <v>0.1086534730306558</v>
      </c>
      <c r="AK296" s="11" t="str">
        <f t="shared" ref="AK296:AK327" si="124">VLOOKUP(AG296,IoU_Thresholds,2,TRUE)</f>
        <v>IoU 75</v>
      </c>
      <c r="AL296" s="11" t="str">
        <f t="shared" si="119"/>
        <v>IoU 50</v>
      </c>
      <c r="AM296" s="11" t="str">
        <f t="shared" si="120"/>
        <v>IoU 25</v>
      </c>
    </row>
    <row r="297" spans="9:39" ht="15" x14ac:dyDescent="0.25">
      <c r="I297">
        <v>3.3686038600637375E-2</v>
      </c>
      <c r="J297">
        <v>0</v>
      </c>
      <c r="K297">
        <v>0</v>
      </c>
      <c r="M297" s="11" t="str">
        <f t="shared" si="123"/>
        <v>IoU 25</v>
      </c>
      <c r="N297" s="11" t="str">
        <f t="shared" si="113"/>
        <v>IoU 25</v>
      </c>
      <c r="O297" s="11" t="str">
        <f t="shared" si="114"/>
        <v>IoU 25</v>
      </c>
      <c r="Q297">
        <v>0.43138323788703098</v>
      </c>
      <c r="R297">
        <v>0.59364614274281891</v>
      </c>
      <c r="S297">
        <v>0.23268653597679775</v>
      </c>
      <c r="U297" s="11" t="str">
        <f t="shared" si="122"/>
        <v>IoU 50</v>
      </c>
      <c r="V297" s="11" t="str">
        <f t="shared" si="115"/>
        <v>IoU 75</v>
      </c>
      <c r="W297" s="11" t="str">
        <f t="shared" si="116"/>
        <v>IoU 25</v>
      </c>
      <c r="Y297" s="11">
        <v>0.37303928087401417</v>
      </c>
      <c r="Z297" s="11">
        <v>0</v>
      </c>
      <c r="AA297" s="11">
        <v>6.9048360546336257E-2</v>
      </c>
      <c r="AC297" s="11" t="str">
        <f t="shared" si="121"/>
        <v>IoU 50</v>
      </c>
      <c r="AD297" s="11" t="str">
        <f t="shared" si="117"/>
        <v>IoU 25</v>
      </c>
      <c r="AE297" s="11" t="str">
        <f t="shared" si="118"/>
        <v>IoU 25</v>
      </c>
      <c r="AG297" s="11">
        <v>0.8589586403781091</v>
      </c>
      <c r="AH297" s="11">
        <v>0.69728243344968632</v>
      </c>
      <c r="AI297" s="11">
        <v>0.25061338941465122</v>
      </c>
      <c r="AK297" s="11" t="str">
        <f t="shared" si="124"/>
        <v>IoU 100</v>
      </c>
      <c r="AL297" s="11" t="str">
        <f t="shared" si="119"/>
        <v>IoU 75</v>
      </c>
      <c r="AM297" s="11" t="str">
        <f t="shared" si="120"/>
        <v>IoU 50</v>
      </c>
    </row>
    <row r="298" spans="9:39" ht="15" x14ac:dyDescent="0.25">
      <c r="I298">
        <v>0.73017865157789685</v>
      </c>
      <c r="J298">
        <v>0</v>
      </c>
      <c r="K298">
        <v>0</v>
      </c>
      <c r="M298" s="11" t="str">
        <f t="shared" si="123"/>
        <v>IoU 75</v>
      </c>
      <c r="N298" s="11" t="str">
        <f t="shared" si="113"/>
        <v>IoU 25</v>
      </c>
      <c r="O298" s="11" t="str">
        <f t="shared" si="114"/>
        <v>IoU 25</v>
      </c>
      <c r="Q298">
        <v>0.41034192855407031</v>
      </c>
      <c r="R298">
        <v>0.44091681926908038</v>
      </c>
      <c r="S298">
        <v>0.36895451981512478</v>
      </c>
      <c r="U298" s="11" t="str">
        <f t="shared" si="122"/>
        <v>IoU 50</v>
      </c>
      <c r="V298" s="11" t="str">
        <f t="shared" si="115"/>
        <v>IoU 50</v>
      </c>
      <c r="W298" s="11" t="str">
        <f t="shared" si="116"/>
        <v>IoU 50</v>
      </c>
      <c r="Y298" s="11">
        <v>0.44688866464850319</v>
      </c>
      <c r="Z298" s="11">
        <v>0.25681499298456606</v>
      </c>
      <c r="AA298" s="11">
        <v>0.40395871022666807</v>
      </c>
      <c r="AC298" s="11" t="str">
        <f t="shared" si="121"/>
        <v>IoU 50</v>
      </c>
      <c r="AD298" s="11" t="str">
        <f t="shared" si="117"/>
        <v>IoU 50</v>
      </c>
      <c r="AE298" s="11" t="str">
        <f t="shared" si="118"/>
        <v>IoU 50</v>
      </c>
      <c r="AG298" s="11">
        <v>0.48502698618843054</v>
      </c>
      <c r="AH298" s="11">
        <v>4.4204556286340672E-2</v>
      </c>
      <c r="AI298" s="11">
        <v>0</v>
      </c>
      <c r="AK298" s="11" t="str">
        <f t="shared" si="124"/>
        <v>IoU 50</v>
      </c>
      <c r="AL298" s="11" t="str">
        <f t="shared" si="119"/>
        <v>IoU 25</v>
      </c>
      <c r="AM298" s="11" t="str">
        <f t="shared" si="120"/>
        <v>IoU 25</v>
      </c>
    </row>
    <row r="299" spans="9:39" ht="15" x14ac:dyDescent="0.25">
      <c r="I299">
        <v>0.40802029476472679</v>
      </c>
      <c r="J299">
        <v>0.28710417005408895</v>
      </c>
      <c r="K299">
        <v>0.27437015347934712</v>
      </c>
      <c r="M299" s="11" t="str">
        <f t="shared" si="123"/>
        <v>IoU 50</v>
      </c>
      <c r="N299" s="11" t="str">
        <f t="shared" si="113"/>
        <v>IoU 50</v>
      </c>
      <c r="O299" s="11" t="str">
        <f t="shared" si="114"/>
        <v>IoU 50</v>
      </c>
      <c r="Q299">
        <v>0.40350734426496315</v>
      </c>
      <c r="R299">
        <v>0.727840989634021</v>
      </c>
      <c r="S299">
        <v>0.39632834032950343</v>
      </c>
      <c r="U299" s="11" t="str">
        <f t="shared" si="122"/>
        <v>IoU 50</v>
      </c>
      <c r="V299" s="11" t="str">
        <f t="shared" si="115"/>
        <v>IoU 75</v>
      </c>
      <c r="W299" s="11" t="str">
        <f t="shared" si="116"/>
        <v>IoU 50</v>
      </c>
      <c r="Y299" s="11">
        <v>6.7592300968993907E-2</v>
      </c>
      <c r="Z299" s="11">
        <v>0.1710078278320887</v>
      </c>
      <c r="AA299" s="11">
        <v>0.39924783659910845</v>
      </c>
      <c r="AC299" s="11" t="str">
        <f t="shared" si="121"/>
        <v>IoU 25</v>
      </c>
      <c r="AD299" s="11" t="str">
        <f t="shared" si="117"/>
        <v>IoU 25</v>
      </c>
      <c r="AE299" s="11" t="str">
        <f t="shared" si="118"/>
        <v>IoU 50</v>
      </c>
      <c r="AG299" s="11">
        <v>0.42454663212435234</v>
      </c>
      <c r="AH299" s="11">
        <v>0.46829690901831389</v>
      </c>
      <c r="AI299" s="11">
        <v>0.35169300225733635</v>
      </c>
      <c r="AK299" s="11" t="str">
        <f t="shared" si="124"/>
        <v>IoU 50</v>
      </c>
      <c r="AL299" s="11" t="str">
        <f t="shared" si="119"/>
        <v>IoU 50</v>
      </c>
      <c r="AM299" s="11" t="str">
        <f t="shared" si="120"/>
        <v>IoU 50</v>
      </c>
    </row>
    <row r="300" spans="9:39" ht="15" x14ac:dyDescent="0.25">
      <c r="I300">
        <v>0.86100167087974033</v>
      </c>
      <c r="J300">
        <v>0.73598378286363475</v>
      </c>
      <c r="K300">
        <v>0.56418092594665059</v>
      </c>
      <c r="M300" s="11" t="str">
        <f t="shared" si="123"/>
        <v>IoU 100</v>
      </c>
      <c r="N300" s="11" t="str">
        <f t="shared" si="113"/>
        <v>IoU 75</v>
      </c>
      <c r="O300" s="11" t="str">
        <f t="shared" si="114"/>
        <v>IoU 75</v>
      </c>
      <c r="Q300">
        <v>0.44480544012089157</v>
      </c>
      <c r="R300">
        <v>0.46515571171360842</v>
      </c>
      <c r="S300">
        <v>0.27854023705552089</v>
      </c>
      <c r="U300" s="11" t="str">
        <f t="shared" si="122"/>
        <v>IoU 50</v>
      </c>
      <c r="V300" s="11" t="str">
        <f t="shared" si="115"/>
        <v>IoU 50</v>
      </c>
      <c r="W300" s="11" t="str">
        <f t="shared" si="116"/>
        <v>IoU 50</v>
      </c>
      <c r="Y300" s="11">
        <v>0.73384383749884718</v>
      </c>
      <c r="Z300" s="11">
        <v>0.27662974538582136</v>
      </c>
      <c r="AA300" s="11">
        <v>0.40466504473003445</v>
      </c>
      <c r="AC300" s="11" t="str">
        <f t="shared" si="121"/>
        <v>IoU 75</v>
      </c>
      <c r="AD300" s="11" t="str">
        <f t="shared" si="117"/>
        <v>IoU 50</v>
      </c>
      <c r="AE300" s="11" t="str">
        <f t="shared" si="118"/>
        <v>IoU 50</v>
      </c>
      <c r="AG300" s="11">
        <v>0.83478236466025779</v>
      </c>
      <c r="AH300" s="11">
        <v>0.47072545771589747</v>
      </c>
      <c r="AI300" s="11">
        <v>0.28991755446052292</v>
      </c>
      <c r="AK300" s="11" t="str">
        <f t="shared" si="124"/>
        <v>IoU 100</v>
      </c>
      <c r="AL300" s="11" t="str">
        <f t="shared" si="119"/>
        <v>IoU 50</v>
      </c>
      <c r="AM300" s="11" t="str">
        <f t="shared" si="120"/>
        <v>IoU 50</v>
      </c>
    </row>
    <row r="301" spans="9:39" ht="15" x14ac:dyDescent="0.25">
      <c r="I301">
        <v>0.52611230037062395</v>
      </c>
      <c r="J301">
        <v>0.27667984189723321</v>
      </c>
      <c r="K301">
        <v>0.32257053291536048</v>
      </c>
      <c r="M301" s="11" t="str">
        <f t="shared" si="123"/>
        <v>IoU 75</v>
      </c>
      <c r="N301" s="11" t="str">
        <f t="shared" si="113"/>
        <v>IoU 50</v>
      </c>
      <c r="O301" s="11" t="str">
        <f t="shared" si="114"/>
        <v>IoU 50</v>
      </c>
      <c r="Q301">
        <v>0.44151033260127537</v>
      </c>
      <c r="R301">
        <v>0.54036118704226088</v>
      </c>
      <c r="S301">
        <v>0.41596015415929011</v>
      </c>
      <c r="U301" s="11" t="str">
        <f t="shared" si="122"/>
        <v>IoU 50</v>
      </c>
      <c r="V301" s="11" t="str">
        <f t="shared" si="115"/>
        <v>IoU 75</v>
      </c>
      <c r="W301" s="11" t="str">
        <f t="shared" si="116"/>
        <v>IoU 50</v>
      </c>
      <c r="Y301" s="11">
        <v>0.34087619328831775</v>
      </c>
      <c r="Z301" s="11">
        <v>0</v>
      </c>
      <c r="AA301" s="11">
        <v>0.21528447444551591</v>
      </c>
      <c r="AC301" s="11" t="str">
        <f t="shared" si="121"/>
        <v>IoU 50</v>
      </c>
      <c r="AD301" s="11" t="str">
        <f t="shared" si="117"/>
        <v>IoU 25</v>
      </c>
      <c r="AE301" s="11" t="str">
        <f t="shared" si="118"/>
        <v>IoU 25</v>
      </c>
      <c r="AG301" s="11">
        <v>0.73087573211095458</v>
      </c>
      <c r="AH301" s="11">
        <v>0.41071690678396222</v>
      </c>
      <c r="AI301" s="11">
        <v>0.49758484970042383</v>
      </c>
      <c r="AK301" s="11" t="str">
        <f t="shared" si="124"/>
        <v>IoU 75</v>
      </c>
      <c r="AL301" s="11" t="str">
        <f t="shared" si="119"/>
        <v>IoU 50</v>
      </c>
      <c r="AM301" s="11" t="str">
        <f t="shared" si="120"/>
        <v>IoU 50</v>
      </c>
    </row>
    <row r="302" spans="9:39" ht="15" x14ac:dyDescent="0.25">
      <c r="I302">
        <v>0.55880946794092679</v>
      </c>
      <c r="J302">
        <v>0</v>
      </c>
      <c r="K302">
        <v>4.6930923174869958E-2</v>
      </c>
      <c r="M302" s="11" t="str">
        <f t="shared" si="123"/>
        <v>IoU 75</v>
      </c>
      <c r="N302" s="11" t="str">
        <f t="shared" si="113"/>
        <v>IoU 25</v>
      </c>
      <c r="O302" s="11" t="str">
        <f t="shared" si="114"/>
        <v>IoU 25</v>
      </c>
      <c r="Q302">
        <v>0.3804820302239979</v>
      </c>
      <c r="R302">
        <v>0.33987685621151759</v>
      </c>
      <c r="S302">
        <v>0.32861868707170927</v>
      </c>
      <c r="U302" s="11" t="str">
        <f t="shared" si="122"/>
        <v>IoU 50</v>
      </c>
      <c r="V302" s="11" t="str">
        <f t="shared" si="115"/>
        <v>IoU 50</v>
      </c>
      <c r="W302" s="11" t="str">
        <f t="shared" si="116"/>
        <v>IoU 50</v>
      </c>
      <c r="Y302" s="11">
        <v>0.42917761163871487</v>
      </c>
      <c r="Z302" s="11">
        <v>0.29664110989412196</v>
      </c>
      <c r="AA302" s="11">
        <v>0.36801280472789955</v>
      </c>
      <c r="AC302" s="11" t="str">
        <f t="shared" si="121"/>
        <v>IoU 50</v>
      </c>
      <c r="AD302" s="11" t="str">
        <f t="shared" si="117"/>
        <v>IoU 50</v>
      </c>
      <c r="AE302" s="11" t="str">
        <f t="shared" si="118"/>
        <v>IoU 50</v>
      </c>
      <c r="AG302" s="11">
        <v>0.47169557700095577</v>
      </c>
      <c r="AH302" s="11">
        <v>5.4469639680722132E-2</v>
      </c>
      <c r="AI302" s="11">
        <v>0.36152039989963591</v>
      </c>
      <c r="AK302" s="11" t="str">
        <f t="shared" si="124"/>
        <v>IoU 50</v>
      </c>
      <c r="AL302" s="11" t="str">
        <f t="shared" si="119"/>
        <v>IoU 25</v>
      </c>
      <c r="AM302" s="11" t="str">
        <f t="shared" si="120"/>
        <v>IoU 50</v>
      </c>
    </row>
    <row r="303" spans="9:39" ht="15" x14ac:dyDescent="0.25">
      <c r="I303">
        <v>0.83953675552344231</v>
      </c>
      <c r="J303">
        <v>0.37512588116817724</v>
      </c>
      <c r="K303">
        <v>0.35819506900294618</v>
      </c>
      <c r="M303" s="11" t="str">
        <f t="shared" si="123"/>
        <v>IoU 100</v>
      </c>
      <c r="N303" s="11" t="str">
        <f t="shared" si="113"/>
        <v>IoU 50</v>
      </c>
      <c r="O303" s="11" t="str">
        <f t="shared" si="114"/>
        <v>IoU 50</v>
      </c>
      <c r="Q303">
        <v>0</v>
      </c>
      <c r="R303">
        <v>9.5662863728597794E-2</v>
      </c>
      <c r="S303">
        <v>0</v>
      </c>
      <c r="U303" s="11" t="str">
        <f t="shared" si="122"/>
        <v>IoU 25</v>
      </c>
      <c r="V303" s="11" t="str">
        <f t="shared" si="115"/>
        <v>IoU 25</v>
      </c>
      <c r="W303" s="11" t="str">
        <f t="shared" si="116"/>
        <v>IoU 25</v>
      </c>
      <c r="Y303" s="11">
        <v>0.7886056069294467</v>
      </c>
      <c r="Z303" s="11">
        <v>0.3965901754797817</v>
      </c>
      <c r="AA303" s="11">
        <v>0.36033312769895126</v>
      </c>
      <c r="AC303" s="11" t="str">
        <f t="shared" si="121"/>
        <v>IoU 100</v>
      </c>
      <c r="AD303" s="11" t="str">
        <f t="shared" si="117"/>
        <v>IoU 50</v>
      </c>
      <c r="AE303" s="11" t="str">
        <f t="shared" si="118"/>
        <v>IoU 50</v>
      </c>
      <c r="AG303" s="11">
        <v>0.46420605632776607</v>
      </c>
      <c r="AH303" s="11">
        <v>3.2706071953358298E-2</v>
      </c>
      <c r="AI303" s="11">
        <v>0.1925213554791598</v>
      </c>
      <c r="AK303" s="11" t="str">
        <f t="shared" si="124"/>
        <v>IoU 50</v>
      </c>
      <c r="AL303" s="11" t="str">
        <f t="shared" si="119"/>
        <v>IoU 25</v>
      </c>
      <c r="AM303" s="11" t="str">
        <f t="shared" si="120"/>
        <v>IoU 25</v>
      </c>
    </row>
    <row r="304" spans="9:39" ht="15" x14ac:dyDescent="0.25">
      <c r="I304">
        <v>0.45787531092032419</v>
      </c>
      <c r="J304">
        <v>0.41953281980401186</v>
      </c>
      <c r="K304">
        <v>0.35956719817767652</v>
      </c>
      <c r="M304" s="11" t="str">
        <f t="shared" si="123"/>
        <v>IoU 50</v>
      </c>
      <c r="N304" s="11" t="str">
        <f t="shared" si="113"/>
        <v>IoU 50</v>
      </c>
      <c r="O304" s="11" t="str">
        <f t="shared" si="114"/>
        <v>IoU 50</v>
      </c>
      <c r="Q304">
        <v>0.77314880789878693</v>
      </c>
      <c r="R304">
        <v>0.3308265186915888</v>
      </c>
      <c r="S304">
        <v>0.29144443235005985</v>
      </c>
      <c r="U304" s="11" t="str">
        <f t="shared" si="122"/>
        <v>IoU 100</v>
      </c>
      <c r="V304" s="11" t="str">
        <f t="shared" si="115"/>
        <v>IoU 50</v>
      </c>
      <c r="W304" s="11" t="str">
        <f t="shared" si="116"/>
        <v>IoU 50</v>
      </c>
      <c r="Y304" s="11">
        <v>0.35909530253237965</v>
      </c>
      <c r="Z304" s="11">
        <v>0.38336003189936851</v>
      </c>
      <c r="AA304" s="11">
        <v>0.38337133741138052</v>
      </c>
      <c r="AC304" s="11" t="str">
        <f t="shared" si="121"/>
        <v>IoU 50</v>
      </c>
      <c r="AD304" s="11" t="str">
        <f t="shared" si="117"/>
        <v>IoU 50</v>
      </c>
      <c r="AE304" s="11" t="str">
        <f t="shared" si="118"/>
        <v>IoU 50</v>
      </c>
      <c r="AG304" s="11">
        <v>0.82879118784477313</v>
      </c>
      <c r="AH304" s="11">
        <v>0.39996537532971993</v>
      </c>
      <c r="AI304" s="11">
        <v>0.5057237584209332</v>
      </c>
      <c r="AK304" s="11" t="str">
        <f t="shared" si="124"/>
        <v>IoU 100</v>
      </c>
      <c r="AL304" s="11" t="str">
        <f t="shared" si="119"/>
        <v>IoU 50</v>
      </c>
      <c r="AM304" s="11" t="str">
        <f t="shared" si="120"/>
        <v>IoU 75</v>
      </c>
    </row>
    <row r="305" spans="9:39" ht="15" x14ac:dyDescent="0.25">
      <c r="I305">
        <v>0.81514101534509198</v>
      </c>
      <c r="J305">
        <v>0.51183928513298449</v>
      </c>
      <c r="K305">
        <v>0.25881470367591897</v>
      </c>
      <c r="M305" s="11" t="str">
        <f t="shared" si="123"/>
        <v>IoU 100</v>
      </c>
      <c r="N305" s="11" t="str">
        <f t="shared" si="113"/>
        <v>IoU 75</v>
      </c>
      <c r="O305" s="11" t="str">
        <f t="shared" si="114"/>
        <v>IoU 50</v>
      </c>
      <c r="Q305">
        <v>0.14150943396226415</v>
      </c>
      <c r="R305">
        <v>0.327685397910427</v>
      </c>
      <c r="S305">
        <v>7.7368421052631572E-2</v>
      </c>
      <c r="U305" s="11" t="str">
        <f t="shared" si="122"/>
        <v>IoU 25</v>
      </c>
      <c r="V305" s="11" t="str">
        <f t="shared" si="115"/>
        <v>IoU 50</v>
      </c>
      <c r="W305" s="11" t="str">
        <f t="shared" si="116"/>
        <v>IoU 25</v>
      </c>
      <c r="Y305" s="11">
        <v>0.41574215761285388</v>
      </c>
      <c r="Z305" s="11">
        <v>0.34164859002169196</v>
      </c>
      <c r="AA305" s="11">
        <v>0.3272451399389652</v>
      </c>
      <c r="AC305" s="11" t="str">
        <f t="shared" si="121"/>
        <v>IoU 50</v>
      </c>
      <c r="AD305" s="11" t="str">
        <f t="shared" si="117"/>
        <v>IoU 50</v>
      </c>
      <c r="AE305" s="11" t="str">
        <f t="shared" si="118"/>
        <v>IoU 50</v>
      </c>
      <c r="AG305" s="11">
        <v>0.42606212067118887</v>
      </c>
      <c r="AH305" s="11">
        <v>0.31684370257966615</v>
      </c>
      <c r="AI305" s="11">
        <v>0.24833646520120051</v>
      </c>
      <c r="AK305" s="11" t="str">
        <f t="shared" si="124"/>
        <v>IoU 50</v>
      </c>
      <c r="AL305" s="11" t="str">
        <f t="shared" si="119"/>
        <v>IoU 50</v>
      </c>
      <c r="AM305" s="11" t="str">
        <f t="shared" si="120"/>
        <v>IoU 25</v>
      </c>
    </row>
    <row r="306" spans="9:39" ht="15" x14ac:dyDescent="0.25">
      <c r="I306">
        <v>0.77149219383048928</v>
      </c>
      <c r="J306">
        <v>0.31335034013605439</v>
      </c>
      <c r="K306">
        <v>0.30947368421052629</v>
      </c>
      <c r="M306" s="11" t="str">
        <f t="shared" si="123"/>
        <v>IoU 100</v>
      </c>
      <c r="N306" s="11" t="str">
        <f t="shared" si="113"/>
        <v>IoU 50</v>
      </c>
      <c r="O306" s="11" t="str">
        <f t="shared" si="114"/>
        <v>IoU 50</v>
      </c>
      <c r="Q306">
        <v>0.75870861702233539</v>
      </c>
      <c r="R306">
        <v>0.4422793261392749</v>
      </c>
      <c r="S306">
        <v>0.73093110424662089</v>
      </c>
      <c r="U306" s="11" t="str">
        <f t="shared" si="122"/>
        <v>IoU 100</v>
      </c>
      <c r="V306" s="11" t="str">
        <f t="shared" si="115"/>
        <v>IoU 50</v>
      </c>
      <c r="W306" s="11" t="str">
        <f t="shared" si="116"/>
        <v>IoU 75</v>
      </c>
      <c r="Y306" s="11">
        <v>0.45232224718280278</v>
      </c>
      <c r="Z306" s="11">
        <v>0.32366540563261875</v>
      </c>
      <c r="AA306" s="11">
        <v>0.321377331420373</v>
      </c>
      <c r="AC306" s="11" t="str">
        <f t="shared" si="121"/>
        <v>IoU 50</v>
      </c>
      <c r="AD306" s="11" t="str">
        <f t="shared" si="117"/>
        <v>IoU 50</v>
      </c>
      <c r="AE306" s="11" t="str">
        <f t="shared" si="118"/>
        <v>IoU 50</v>
      </c>
      <c r="AG306" s="11">
        <v>0.79975756265788878</v>
      </c>
      <c r="AH306" s="11">
        <v>0.75283004090000338</v>
      </c>
      <c r="AI306" s="11">
        <v>0.22740922740922742</v>
      </c>
      <c r="AK306" s="11" t="str">
        <f t="shared" si="124"/>
        <v>IoU 100</v>
      </c>
      <c r="AL306" s="11" t="str">
        <f t="shared" si="119"/>
        <v>IoU 100</v>
      </c>
      <c r="AM306" s="11" t="str">
        <f t="shared" si="120"/>
        <v>IoU 25</v>
      </c>
    </row>
    <row r="307" spans="9:39" ht="15" x14ac:dyDescent="0.25">
      <c r="I307">
        <v>0.89717441436297374</v>
      </c>
      <c r="J307">
        <v>0.35202355737442553</v>
      </c>
      <c r="K307">
        <v>0.27635083713850839</v>
      </c>
      <c r="M307" s="11" t="str">
        <f t="shared" si="123"/>
        <v>IoU 100</v>
      </c>
      <c r="N307" s="11" t="str">
        <f t="shared" si="113"/>
        <v>IoU 50</v>
      </c>
      <c r="O307" s="11" t="str">
        <f t="shared" si="114"/>
        <v>IoU 50</v>
      </c>
      <c r="Q307">
        <v>0.50748063350289607</v>
      </c>
      <c r="R307">
        <v>0.15080532212885153</v>
      </c>
      <c r="S307">
        <v>0</v>
      </c>
      <c r="U307" s="11" t="str">
        <f t="shared" si="122"/>
        <v>IoU 75</v>
      </c>
      <c r="V307" s="11" t="str">
        <f t="shared" si="115"/>
        <v>IoU 25</v>
      </c>
      <c r="W307" s="11" t="str">
        <f t="shared" si="116"/>
        <v>IoU 25</v>
      </c>
      <c r="Y307" s="11">
        <v>0.40885659298403776</v>
      </c>
      <c r="Z307" s="11">
        <v>0.40136404789940794</v>
      </c>
      <c r="AA307" s="11">
        <v>0.34343200740055502</v>
      </c>
      <c r="AC307" s="11" t="str">
        <f t="shared" si="121"/>
        <v>IoU 50</v>
      </c>
      <c r="AD307" s="11" t="str">
        <f t="shared" si="117"/>
        <v>IoU 50</v>
      </c>
      <c r="AE307" s="11" t="str">
        <f t="shared" si="118"/>
        <v>IoU 50</v>
      </c>
      <c r="AG307" s="11">
        <v>0.33350689884047119</v>
      </c>
      <c r="AH307" s="11">
        <v>0.33345192990321204</v>
      </c>
      <c r="AI307" s="11">
        <v>0.35014679075198996</v>
      </c>
      <c r="AK307" s="11" t="str">
        <f t="shared" si="124"/>
        <v>IoU 50</v>
      </c>
      <c r="AL307" s="11" t="str">
        <f t="shared" si="119"/>
        <v>IoU 50</v>
      </c>
      <c r="AM307" s="11" t="str">
        <f t="shared" si="120"/>
        <v>IoU 50</v>
      </c>
    </row>
    <row r="308" spans="9:39" ht="15" x14ac:dyDescent="0.25">
      <c r="I308">
        <v>0.78826970242451222</v>
      </c>
      <c r="J308">
        <v>0.20295983086680761</v>
      </c>
      <c r="K308">
        <v>0.51316567563792836</v>
      </c>
      <c r="M308" s="11" t="str">
        <f t="shared" si="123"/>
        <v>IoU 100</v>
      </c>
      <c r="N308" s="11" t="str">
        <f t="shared" si="113"/>
        <v>IoU 25</v>
      </c>
      <c r="O308" s="11" t="str">
        <f t="shared" si="114"/>
        <v>IoU 75</v>
      </c>
      <c r="Q308">
        <v>0</v>
      </c>
      <c r="R308">
        <v>0.21215818504416029</v>
      </c>
      <c r="S308">
        <v>0.24610213260382338</v>
      </c>
      <c r="U308" s="11" t="str">
        <f t="shared" si="122"/>
        <v>IoU 25</v>
      </c>
      <c r="V308" s="11" t="str">
        <f t="shared" si="115"/>
        <v>IoU 25</v>
      </c>
      <c r="W308" s="11" t="str">
        <f t="shared" si="116"/>
        <v>IoU 25</v>
      </c>
      <c r="Y308" s="11">
        <v>0.80949042107398328</v>
      </c>
      <c r="Z308" s="11">
        <v>0.17194624142663675</v>
      </c>
      <c r="AA308" s="11">
        <v>0.26866623524960848</v>
      </c>
      <c r="AC308" s="11" t="str">
        <f t="shared" si="121"/>
        <v>IoU 100</v>
      </c>
      <c r="AD308" s="11" t="str">
        <f t="shared" si="117"/>
        <v>IoU 25</v>
      </c>
      <c r="AE308" s="11" t="str">
        <f t="shared" si="118"/>
        <v>IoU 50</v>
      </c>
      <c r="AG308" s="11">
        <v>0.41341316094452052</v>
      </c>
      <c r="AH308" s="11">
        <v>0.41750687870250958</v>
      </c>
      <c r="AI308" s="11">
        <v>0.34561806987063948</v>
      </c>
      <c r="AK308" s="11" t="str">
        <f t="shared" si="124"/>
        <v>IoU 50</v>
      </c>
      <c r="AL308" s="11" t="str">
        <f t="shared" si="119"/>
        <v>IoU 50</v>
      </c>
      <c r="AM308" s="11" t="str">
        <f t="shared" si="120"/>
        <v>IoU 50</v>
      </c>
    </row>
    <row r="309" spans="9:39" ht="15" x14ac:dyDescent="0.25">
      <c r="I309">
        <v>0.7800610888202173</v>
      </c>
      <c r="J309">
        <v>0.51530796794431721</v>
      </c>
      <c r="K309">
        <v>0.39666666666666667</v>
      </c>
      <c r="M309" s="11" t="str">
        <f t="shared" si="123"/>
        <v>IoU 100</v>
      </c>
      <c r="N309" s="11" t="str">
        <f t="shared" si="113"/>
        <v>IoU 75</v>
      </c>
      <c r="O309" s="11" t="str">
        <f t="shared" si="114"/>
        <v>IoU 50</v>
      </c>
      <c r="Q309">
        <v>0.52121866906957848</v>
      </c>
      <c r="R309">
        <v>0.52217330713289634</v>
      </c>
      <c r="S309">
        <v>0.27746819472190093</v>
      </c>
      <c r="U309" s="11" t="str">
        <f t="shared" si="122"/>
        <v>IoU 75</v>
      </c>
      <c r="V309" s="11" t="str">
        <f t="shared" si="115"/>
        <v>IoU 75</v>
      </c>
      <c r="W309" s="11" t="str">
        <f t="shared" si="116"/>
        <v>IoU 50</v>
      </c>
      <c r="Y309" s="11">
        <v>0.39749720858701837</v>
      </c>
      <c r="Z309" s="11">
        <v>0.31760953500083933</v>
      </c>
      <c r="AA309" s="11">
        <v>0.13584117032392895</v>
      </c>
      <c r="AC309" s="11" t="str">
        <f t="shared" si="121"/>
        <v>IoU 50</v>
      </c>
      <c r="AD309" s="11" t="str">
        <f t="shared" si="117"/>
        <v>IoU 50</v>
      </c>
      <c r="AE309" s="11" t="str">
        <f t="shared" si="118"/>
        <v>IoU 25</v>
      </c>
      <c r="AG309" s="11">
        <v>0.88014521826907866</v>
      </c>
      <c r="AH309" s="11">
        <v>0.72696458006597497</v>
      </c>
      <c r="AI309" s="11">
        <v>0.26078857497671531</v>
      </c>
      <c r="AK309" s="11" t="str">
        <f t="shared" si="124"/>
        <v>IoU 100</v>
      </c>
      <c r="AL309" s="11" t="str">
        <f t="shared" si="119"/>
        <v>IoU 75</v>
      </c>
      <c r="AM309" s="11" t="str">
        <f t="shared" si="120"/>
        <v>IoU 50</v>
      </c>
    </row>
    <row r="310" spans="9:39" ht="15" x14ac:dyDescent="0.25">
      <c r="I310">
        <v>0.83062131617573975</v>
      </c>
      <c r="J310">
        <v>0.38022020641109194</v>
      </c>
      <c r="K310">
        <v>0.19550668887613645</v>
      </c>
      <c r="M310" s="11" t="str">
        <f t="shared" si="123"/>
        <v>IoU 100</v>
      </c>
      <c r="N310" s="11" t="str">
        <f t="shared" si="113"/>
        <v>IoU 50</v>
      </c>
      <c r="O310" s="11" t="str">
        <f t="shared" si="114"/>
        <v>IoU 25</v>
      </c>
      <c r="Q310">
        <v>0.39312737679852588</v>
      </c>
      <c r="R310">
        <v>0.54148081381448887</v>
      </c>
      <c r="S310">
        <v>0.38308869133760598</v>
      </c>
      <c r="U310" s="11" t="str">
        <f t="shared" si="122"/>
        <v>IoU 50</v>
      </c>
      <c r="V310" s="11" t="str">
        <f t="shared" si="115"/>
        <v>IoU 75</v>
      </c>
      <c r="W310" s="11" t="str">
        <f t="shared" si="116"/>
        <v>IoU 50</v>
      </c>
      <c r="Y310" s="11">
        <v>0.70780551364482747</v>
      </c>
      <c r="Z310" s="11">
        <v>0.37819419852971509</v>
      </c>
      <c r="AA310" s="11">
        <v>0.42243188899741185</v>
      </c>
      <c r="AC310" s="11" t="str">
        <f t="shared" si="121"/>
        <v>IoU 75</v>
      </c>
      <c r="AD310" s="11" t="str">
        <f t="shared" si="117"/>
        <v>IoU 50</v>
      </c>
      <c r="AE310" s="11" t="str">
        <f t="shared" si="118"/>
        <v>IoU 50</v>
      </c>
      <c r="AG310" s="11">
        <v>0.88571348596685096</v>
      </c>
      <c r="AH310" s="11">
        <v>0.42089180532843418</v>
      </c>
      <c r="AI310" s="11">
        <v>0.31517251548215863</v>
      </c>
      <c r="AK310" s="11" t="str">
        <f t="shared" si="124"/>
        <v>IoU 100</v>
      </c>
      <c r="AL310" s="11" t="str">
        <f t="shared" si="119"/>
        <v>IoU 50</v>
      </c>
      <c r="AM310" s="11" t="str">
        <f t="shared" si="120"/>
        <v>IoU 50</v>
      </c>
    </row>
    <row r="311" spans="9:39" ht="15" x14ac:dyDescent="0.25">
      <c r="I311">
        <v>0.52646750269407017</v>
      </c>
      <c r="J311">
        <v>0.4206536894605632</v>
      </c>
      <c r="K311">
        <v>0.28553030271553054</v>
      </c>
      <c r="M311" s="11" t="str">
        <f t="shared" si="123"/>
        <v>IoU 75</v>
      </c>
      <c r="N311" s="11" t="str">
        <f t="shared" si="113"/>
        <v>IoU 50</v>
      </c>
      <c r="O311" s="11" t="str">
        <f t="shared" si="114"/>
        <v>IoU 50</v>
      </c>
      <c r="Q311">
        <v>6.9836977155345301E-2</v>
      </c>
      <c r="R311">
        <v>0.10938531680466115</v>
      </c>
      <c r="S311">
        <v>0</v>
      </c>
      <c r="U311" s="11" t="str">
        <f t="shared" si="122"/>
        <v>IoU 25</v>
      </c>
      <c r="V311" s="11" t="str">
        <f t="shared" si="115"/>
        <v>IoU 25</v>
      </c>
      <c r="W311" s="11" t="str">
        <f t="shared" si="116"/>
        <v>IoU 25</v>
      </c>
      <c r="Y311" s="11">
        <v>0.41808243597206052</v>
      </c>
      <c r="Z311" s="11">
        <v>0.42072257581430178</v>
      </c>
      <c r="AA311" s="11">
        <v>0.46911602645705147</v>
      </c>
      <c r="AC311" s="11" t="str">
        <f t="shared" si="121"/>
        <v>IoU 50</v>
      </c>
      <c r="AD311" s="11" t="str">
        <f t="shared" si="117"/>
        <v>IoU 50</v>
      </c>
      <c r="AE311" s="11" t="str">
        <f t="shared" si="118"/>
        <v>IoU 50</v>
      </c>
      <c r="AG311" s="11">
        <v>0.4207681755829904</v>
      </c>
      <c r="AH311" s="11">
        <v>0.32667416994935283</v>
      </c>
      <c r="AI311" s="11">
        <v>0.29423201904038643</v>
      </c>
      <c r="AK311" s="11" t="str">
        <f t="shared" si="124"/>
        <v>IoU 50</v>
      </c>
      <c r="AL311" s="11" t="str">
        <f t="shared" si="119"/>
        <v>IoU 50</v>
      </c>
      <c r="AM311" s="11" t="str">
        <f t="shared" si="120"/>
        <v>IoU 50</v>
      </c>
    </row>
    <row r="312" spans="9:39" ht="15" x14ac:dyDescent="0.25">
      <c r="I312">
        <v>4.861502337758495E-2</v>
      </c>
      <c r="J312">
        <v>0.21604782935662004</v>
      </c>
      <c r="K312">
        <v>0.20949411580625371</v>
      </c>
      <c r="M312" s="11" t="str">
        <f t="shared" si="123"/>
        <v>IoU 25</v>
      </c>
      <c r="N312" s="11" t="str">
        <f t="shared" si="113"/>
        <v>IoU 25</v>
      </c>
      <c r="O312" s="11" t="str">
        <f t="shared" si="114"/>
        <v>IoU 25</v>
      </c>
      <c r="Q312">
        <v>0.43725943033102388</v>
      </c>
      <c r="R312">
        <v>0.3739800543970988</v>
      </c>
      <c r="S312">
        <v>0.29621054256386509</v>
      </c>
      <c r="U312" s="11" t="str">
        <f t="shared" si="122"/>
        <v>IoU 50</v>
      </c>
      <c r="V312" s="11" t="str">
        <f t="shared" si="115"/>
        <v>IoU 50</v>
      </c>
      <c r="W312" s="11" t="str">
        <f t="shared" si="116"/>
        <v>IoU 50</v>
      </c>
      <c r="Y312" s="11">
        <v>0.29243745920745223</v>
      </c>
      <c r="Z312" s="11">
        <v>0.18578197522936385</v>
      </c>
      <c r="AA312" s="11">
        <v>0</v>
      </c>
      <c r="AC312" s="11" t="str">
        <f t="shared" si="121"/>
        <v>IoU 50</v>
      </c>
      <c r="AD312" s="11" t="str">
        <f t="shared" si="117"/>
        <v>IoU 25</v>
      </c>
      <c r="AE312" s="11" t="str">
        <f t="shared" si="118"/>
        <v>IoU 25</v>
      </c>
      <c r="AG312" s="11">
        <v>0.77713329458628944</v>
      </c>
      <c r="AH312" s="11">
        <v>0.3421302578018996</v>
      </c>
      <c r="AI312" s="11">
        <v>0.34203592814371259</v>
      </c>
      <c r="AK312" s="11" t="str">
        <f t="shared" si="124"/>
        <v>IoU 100</v>
      </c>
      <c r="AL312" s="11" t="str">
        <f t="shared" si="119"/>
        <v>IoU 50</v>
      </c>
      <c r="AM312" s="11" t="str">
        <f t="shared" si="120"/>
        <v>IoU 50</v>
      </c>
    </row>
    <row r="313" spans="9:39" ht="15" x14ac:dyDescent="0.25">
      <c r="I313">
        <v>0.8197529588797664</v>
      </c>
      <c r="J313">
        <v>0.23799415446678707</v>
      </c>
      <c r="K313">
        <v>0</v>
      </c>
      <c r="M313" s="11" t="str">
        <f t="shared" si="123"/>
        <v>IoU 100</v>
      </c>
      <c r="N313" s="11" t="str">
        <f t="shared" si="113"/>
        <v>IoU 25</v>
      </c>
      <c r="O313" s="11" t="str">
        <f t="shared" si="114"/>
        <v>IoU 25</v>
      </c>
      <c r="Q313">
        <v>0.84364569690219249</v>
      </c>
      <c r="R313">
        <v>0.29936092915353263</v>
      </c>
      <c r="S313">
        <v>0.26731645416218652</v>
      </c>
      <c r="U313" s="11" t="str">
        <f t="shared" si="122"/>
        <v>IoU 100</v>
      </c>
      <c r="V313" s="11" t="str">
        <f t="shared" si="115"/>
        <v>IoU 50</v>
      </c>
      <c r="W313" s="11" t="str">
        <f t="shared" si="116"/>
        <v>IoU 50</v>
      </c>
      <c r="Y313" s="11">
        <v>0.40947890818858562</v>
      </c>
      <c r="Z313" s="11">
        <v>0.21377175368139223</v>
      </c>
      <c r="AA313" s="11">
        <v>0.30541561712846349</v>
      </c>
      <c r="AC313" s="11" t="str">
        <f t="shared" si="121"/>
        <v>IoU 50</v>
      </c>
      <c r="AD313" s="11" t="str">
        <f t="shared" si="117"/>
        <v>IoU 25</v>
      </c>
      <c r="AE313" s="11" t="str">
        <f t="shared" si="118"/>
        <v>IoU 50</v>
      </c>
      <c r="AG313" s="11">
        <v>0.43108086186284628</v>
      </c>
      <c r="AH313" s="11">
        <v>0.4947595808703259</v>
      </c>
      <c r="AI313" s="11">
        <v>0.1781986054492041</v>
      </c>
      <c r="AK313" s="11" t="str">
        <f t="shared" si="124"/>
        <v>IoU 50</v>
      </c>
      <c r="AL313" s="11" t="str">
        <f t="shared" si="119"/>
        <v>IoU 50</v>
      </c>
      <c r="AM313" s="11" t="str">
        <f t="shared" si="120"/>
        <v>IoU 25</v>
      </c>
    </row>
    <row r="314" spans="9:39" ht="15" x14ac:dyDescent="0.25">
      <c r="I314">
        <v>0.85408524841681333</v>
      </c>
      <c r="J314">
        <v>0</v>
      </c>
      <c r="K314">
        <v>0</v>
      </c>
      <c r="M314" s="11" t="str">
        <f t="shared" si="123"/>
        <v>IoU 100</v>
      </c>
      <c r="N314" s="11" t="str">
        <f t="shared" si="113"/>
        <v>IoU 25</v>
      </c>
      <c r="O314" s="11" t="str">
        <f t="shared" si="114"/>
        <v>IoU 25</v>
      </c>
      <c r="Q314">
        <v>0.41982962171603033</v>
      </c>
      <c r="R314">
        <v>0.4821082558884906</v>
      </c>
      <c r="S314">
        <v>0.30054774038090076</v>
      </c>
      <c r="U314" s="11" t="str">
        <f t="shared" si="122"/>
        <v>IoU 50</v>
      </c>
      <c r="V314" s="11" t="str">
        <f t="shared" si="115"/>
        <v>IoU 50</v>
      </c>
      <c r="W314" s="11" t="str">
        <f t="shared" si="116"/>
        <v>IoU 50</v>
      </c>
      <c r="Y314" s="11">
        <v>0.75858664165232792</v>
      </c>
      <c r="Z314" s="11">
        <v>0.27428868841082582</v>
      </c>
      <c r="AA314" s="11">
        <v>0.36864096173581584</v>
      </c>
      <c r="AC314" s="11" t="str">
        <f t="shared" si="121"/>
        <v>IoU 100</v>
      </c>
      <c r="AD314" s="11" t="str">
        <f t="shared" si="117"/>
        <v>IoU 50</v>
      </c>
      <c r="AE314" s="11" t="str">
        <f t="shared" si="118"/>
        <v>IoU 50</v>
      </c>
      <c r="AG314" s="11">
        <v>0.89685860545802143</v>
      </c>
      <c r="AH314" s="11">
        <v>0.78873739831562806</v>
      </c>
      <c r="AI314" s="11">
        <v>0.33360233229629727</v>
      </c>
      <c r="AK314" s="11" t="str">
        <f t="shared" si="124"/>
        <v>IoU 100</v>
      </c>
      <c r="AL314" s="11" t="str">
        <f t="shared" si="119"/>
        <v>IoU 100</v>
      </c>
      <c r="AM314" s="11" t="str">
        <f t="shared" si="120"/>
        <v>IoU 50</v>
      </c>
    </row>
    <row r="315" spans="9:39" ht="15" x14ac:dyDescent="0.25">
      <c r="I315">
        <v>0.41696619761394921</v>
      </c>
      <c r="J315">
        <v>0.4731447077361034</v>
      </c>
      <c r="K315">
        <v>0.32389136431147891</v>
      </c>
      <c r="M315" s="11" t="str">
        <f t="shared" si="123"/>
        <v>IoU 50</v>
      </c>
      <c r="N315" s="11" t="str">
        <f t="shared" si="113"/>
        <v>IoU 50</v>
      </c>
      <c r="O315" s="11" t="str">
        <f t="shared" si="114"/>
        <v>IoU 50</v>
      </c>
      <c r="Q315">
        <v>0</v>
      </c>
      <c r="R315">
        <v>0</v>
      </c>
      <c r="S315">
        <v>6.1211290727543839E-2</v>
      </c>
      <c r="U315" s="11" t="str">
        <f t="shared" si="122"/>
        <v>IoU 25</v>
      </c>
      <c r="V315" s="11" t="str">
        <f t="shared" si="115"/>
        <v>IoU 25</v>
      </c>
      <c r="W315" s="11" t="str">
        <f t="shared" si="116"/>
        <v>IoU 25</v>
      </c>
      <c r="Y315" s="11">
        <v>0.3189491910255205</v>
      </c>
      <c r="Z315" s="11">
        <v>0</v>
      </c>
      <c r="AA315" s="11">
        <v>0</v>
      </c>
      <c r="AC315" s="11" t="str">
        <f t="shared" si="121"/>
        <v>IoU 50</v>
      </c>
      <c r="AD315" s="11" t="str">
        <f t="shared" si="117"/>
        <v>IoU 25</v>
      </c>
      <c r="AE315" s="11" t="str">
        <f t="shared" si="118"/>
        <v>IoU 25</v>
      </c>
      <c r="AG315" s="11">
        <v>0.7682208960194612</v>
      </c>
      <c r="AH315" s="11">
        <v>0.70790300258226868</v>
      </c>
      <c r="AI315" s="11">
        <v>0.24616095494979742</v>
      </c>
      <c r="AK315" s="11" t="str">
        <f t="shared" si="124"/>
        <v>IoU 100</v>
      </c>
      <c r="AL315" s="11" t="str">
        <f t="shared" si="119"/>
        <v>IoU 75</v>
      </c>
      <c r="AM315" s="11" t="str">
        <f t="shared" si="120"/>
        <v>IoU 25</v>
      </c>
    </row>
    <row r="316" spans="9:39" ht="15" x14ac:dyDescent="0.25">
      <c r="I316">
        <v>0.88509425824102117</v>
      </c>
      <c r="J316">
        <v>0.40903514099136806</v>
      </c>
      <c r="K316">
        <v>0.22406033649935747</v>
      </c>
      <c r="M316" s="11" t="str">
        <f t="shared" si="123"/>
        <v>IoU 100</v>
      </c>
      <c r="N316" s="11" t="str">
        <f t="shared" si="113"/>
        <v>IoU 50</v>
      </c>
      <c r="O316" s="11" t="str">
        <f t="shared" si="114"/>
        <v>IoU 25</v>
      </c>
      <c r="Q316">
        <v>0.39750261547857002</v>
      </c>
      <c r="R316">
        <v>0.45624022295664302</v>
      </c>
      <c r="S316">
        <v>0.71847813853985398</v>
      </c>
      <c r="U316" s="11" t="str">
        <f t="shared" si="122"/>
        <v>IoU 50</v>
      </c>
      <c r="V316" s="11" t="str">
        <f t="shared" si="115"/>
        <v>IoU 50</v>
      </c>
      <c r="W316" s="11" t="str">
        <f t="shared" si="116"/>
        <v>IoU 75</v>
      </c>
      <c r="AG316" s="11">
        <v>0.77447047292375859</v>
      </c>
      <c r="AH316" s="11">
        <v>0.29218045112781954</v>
      </c>
      <c r="AI316" s="11">
        <v>0.3325545171339564</v>
      </c>
      <c r="AK316" s="11" t="str">
        <f t="shared" si="124"/>
        <v>IoU 100</v>
      </c>
      <c r="AL316" s="11" t="str">
        <f t="shared" si="119"/>
        <v>IoU 50</v>
      </c>
      <c r="AM316" s="11" t="str">
        <f t="shared" si="120"/>
        <v>IoU 50</v>
      </c>
    </row>
    <row r="317" spans="9:39" ht="15" x14ac:dyDescent="0.25">
      <c r="I317">
        <v>0.80278579444082521</v>
      </c>
      <c r="J317">
        <v>0.5167644119097442</v>
      </c>
      <c r="K317">
        <v>0.22828784119106699</v>
      </c>
      <c r="M317" s="11" t="str">
        <f t="shared" si="123"/>
        <v>IoU 100</v>
      </c>
      <c r="N317" s="11" t="str">
        <f t="shared" si="113"/>
        <v>IoU 75</v>
      </c>
      <c r="O317" s="11" t="str">
        <f t="shared" si="114"/>
        <v>IoU 25</v>
      </c>
      <c r="Q317">
        <v>0.43061237471559627</v>
      </c>
      <c r="R317">
        <v>0.64966087454675092</v>
      </c>
      <c r="S317">
        <v>0.3122550002991708</v>
      </c>
      <c r="U317" s="11" t="str">
        <f t="shared" si="122"/>
        <v>IoU 50</v>
      </c>
      <c r="V317" s="11" t="str">
        <f t="shared" si="115"/>
        <v>IoU 75</v>
      </c>
      <c r="W317" s="11" t="str">
        <f t="shared" si="116"/>
        <v>IoU 50</v>
      </c>
      <c r="Y317" s="11">
        <v>0.77631705042042132</v>
      </c>
      <c r="Z317" s="11">
        <v>0.34340604362617572</v>
      </c>
      <c r="AA317" s="11">
        <v>0.25170801869830994</v>
      </c>
      <c r="AC317" s="11" t="str">
        <f t="shared" ref="AC317:AC322" si="125">VLOOKUP(Y317,IoU_Thresholds,2,TRUE)</f>
        <v>IoU 100</v>
      </c>
      <c r="AD317" s="11" t="str">
        <f t="shared" si="117"/>
        <v>IoU 50</v>
      </c>
      <c r="AE317" s="11" t="str">
        <f t="shared" si="118"/>
        <v>IoU 50</v>
      </c>
      <c r="AG317" s="11">
        <v>0.4424522845575477</v>
      </c>
      <c r="AH317" s="11">
        <v>0.45605227423933609</v>
      </c>
      <c r="AI317" s="11">
        <v>0.70014165592889954</v>
      </c>
      <c r="AK317" s="11" t="str">
        <f t="shared" si="124"/>
        <v>IoU 50</v>
      </c>
      <c r="AL317" s="11" t="str">
        <f t="shared" si="119"/>
        <v>IoU 50</v>
      </c>
      <c r="AM317" s="11" t="str">
        <f t="shared" si="120"/>
        <v>IoU 75</v>
      </c>
    </row>
    <row r="318" spans="9:39" ht="15" x14ac:dyDescent="0.25">
      <c r="I318">
        <v>0.89974735883624357</v>
      </c>
      <c r="J318">
        <v>0.69460247192321511</v>
      </c>
      <c r="K318">
        <v>0.65366603116680744</v>
      </c>
      <c r="M318" s="11" t="str">
        <f t="shared" si="123"/>
        <v>IoU 100</v>
      </c>
      <c r="N318" s="11" t="str">
        <f t="shared" si="113"/>
        <v>IoU 75</v>
      </c>
      <c r="O318" s="11" t="str">
        <f t="shared" si="114"/>
        <v>IoU 75</v>
      </c>
      <c r="Q318">
        <v>0.43988369225710999</v>
      </c>
      <c r="R318">
        <v>0.60804598210640337</v>
      </c>
      <c r="S318">
        <v>0.32718253968253969</v>
      </c>
      <c r="U318" s="11" t="str">
        <f t="shared" si="122"/>
        <v>IoU 50</v>
      </c>
      <c r="V318" s="11" t="str">
        <f t="shared" si="115"/>
        <v>IoU 75</v>
      </c>
      <c r="W318" s="11" t="str">
        <f t="shared" si="116"/>
        <v>IoU 50</v>
      </c>
      <c r="Y318" s="11">
        <v>0.43816400815085776</v>
      </c>
      <c r="Z318" s="11">
        <v>0.34785804304803208</v>
      </c>
      <c r="AA318" s="11">
        <v>0.29344160836845573</v>
      </c>
      <c r="AC318" s="11" t="str">
        <f t="shared" si="125"/>
        <v>IoU 50</v>
      </c>
      <c r="AD318" s="11" t="str">
        <f t="shared" si="117"/>
        <v>IoU 50</v>
      </c>
      <c r="AE318" s="11" t="str">
        <f t="shared" si="118"/>
        <v>IoU 50</v>
      </c>
      <c r="AG318" s="11">
        <v>0.79855669884799618</v>
      </c>
      <c r="AH318" s="11">
        <v>0.69801002393918132</v>
      </c>
      <c r="AI318" s="11">
        <v>0.29046599703606124</v>
      </c>
      <c r="AK318" s="11" t="str">
        <f t="shared" si="124"/>
        <v>IoU 100</v>
      </c>
      <c r="AL318" s="11" t="str">
        <f t="shared" si="119"/>
        <v>IoU 75</v>
      </c>
      <c r="AM318" s="11" t="str">
        <f t="shared" si="120"/>
        <v>IoU 50</v>
      </c>
    </row>
    <row r="319" spans="9:39" ht="15" x14ac:dyDescent="0.25">
      <c r="I319">
        <v>0.5095255184219496</v>
      </c>
      <c r="J319">
        <v>0.14745108654427017</v>
      </c>
      <c r="K319">
        <v>5.3506324130389811E-2</v>
      </c>
      <c r="M319" s="11" t="str">
        <f t="shared" si="123"/>
        <v>IoU 75</v>
      </c>
      <c r="N319" s="11" t="str">
        <f t="shared" si="113"/>
        <v>IoU 25</v>
      </c>
      <c r="O319" s="11" t="str">
        <f t="shared" si="114"/>
        <v>IoU 25</v>
      </c>
      <c r="Q319">
        <v>0.70694746460050117</v>
      </c>
      <c r="R319">
        <v>0.67750901628952698</v>
      </c>
      <c r="S319">
        <v>0.2818534609070551</v>
      </c>
      <c r="U319" s="11" t="str">
        <f t="shared" si="122"/>
        <v>IoU 75</v>
      </c>
      <c r="V319" s="11" t="str">
        <f t="shared" si="115"/>
        <v>IoU 75</v>
      </c>
      <c r="W319" s="11" t="str">
        <f t="shared" si="116"/>
        <v>IoU 50</v>
      </c>
      <c r="Y319" s="11">
        <v>0.25026960066526777</v>
      </c>
      <c r="Z319" s="11">
        <v>0</v>
      </c>
      <c r="AA319" s="11">
        <v>0</v>
      </c>
      <c r="AC319" s="11" t="str">
        <f t="shared" si="125"/>
        <v>IoU 50</v>
      </c>
      <c r="AD319" s="11" t="str">
        <f t="shared" si="117"/>
        <v>IoU 25</v>
      </c>
      <c r="AE319" s="11" t="str">
        <f t="shared" si="118"/>
        <v>IoU 25</v>
      </c>
      <c r="AG319" s="11">
        <v>0.88745816246619902</v>
      </c>
      <c r="AH319" s="11">
        <v>0.37391027969487833</v>
      </c>
      <c r="AI319" s="11">
        <v>0.30371636052968815</v>
      </c>
      <c r="AK319" s="11" t="str">
        <f t="shared" si="124"/>
        <v>IoU 100</v>
      </c>
      <c r="AL319" s="11" t="str">
        <f t="shared" si="119"/>
        <v>IoU 50</v>
      </c>
      <c r="AM319" s="11" t="str">
        <f t="shared" si="120"/>
        <v>IoU 50</v>
      </c>
    </row>
    <row r="320" spans="9:39" ht="15" x14ac:dyDescent="0.25">
      <c r="I320">
        <v>0.61406982135456845</v>
      </c>
      <c r="J320">
        <v>0.35733702265763417</v>
      </c>
      <c r="K320">
        <v>0.23738170347003154</v>
      </c>
      <c r="M320" s="11" t="str">
        <f t="shared" si="123"/>
        <v>IoU 75</v>
      </c>
      <c r="N320" s="11" t="str">
        <f t="shared" si="113"/>
        <v>IoU 50</v>
      </c>
      <c r="O320" s="11" t="str">
        <f t="shared" si="114"/>
        <v>IoU 25</v>
      </c>
      <c r="Q320">
        <v>0.39999195054074799</v>
      </c>
      <c r="R320">
        <v>0.64004260447812167</v>
      </c>
      <c r="S320">
        <v>0.68621247306459165</v>
      </c>
      <c r="U320" s="11" t="str">
        <f t="shared" ref="U320:U351" si="126">VLOOKUP(Q320,IoU_Thresholds,2,TRUE)</f>
        <v>IoU 50</v>
      </c>
      <c r="V320" s="11" t="str">
        <f t="shared" si="115"/>
        <v>IoU 75</v>
      </c>
      <c r="W320" s="11" t="str">
        <f t="shared" si="116"/>
        <v>IoU 75</v>
      </c>
      <c r="Y320" s="11">
        <v>0.29440097162488565</v>
      </c>
      <c r="Z320" s="11">
        <v>0</v>
      </c>
      <c r="AA320" s="11">
        <v>0</v>
      </c>
      <c r="AC320" s="11" t="str">
        <f t="shared" si="125"/>
        <v>IoU 50</v>
      </c>
      <c r="AD320" s="11" t="str">
        <f t="shared" si="117"/>
        <v>IoU 25</v>
      </c>
      <c r="AE320" s="11" t="str">
        <f t="shared" si="118"/>
        <v>IoU 25</v>
      </c>
      <c r="AG320" s="11">
        <v>0.81908513885357315</v>
      </c>
      <c r="AH320" s="11">
        <v>0.51624641154892603</v>
      </c>
      <c r="AI320" s="11">
        <v>0.22170942438694438</v>
      </c>
      <c r="AK320" s="11" t="str">
        <f t="shared" si="124"/>
        <v>IoU 100</v>
      </c>
      <c r="AL320" s="11" t="str">
        <f t="shared" si="119"/>
        <v>IoU 75</v>
      </c>
      <c r="AM320" s="11" t="str">
        <f t="shared" si="120"/>
        <v>IoU 25</v>
      </c>
    </row>
    <row r="321" spans="9:39" ht="15" x14ac:dyDescent="0.25">
      <c r="I321">
        <v>0.77537888744437811</v>
      </c>
      <c r="J321">
        <v>0.34937890414952832</v>
      </c>
      <c r="K321">
        <v>0.4617897183228194</v>
      </c>
      <c r="M321" s="11" t="str">
        <f t="shared" ref="M321:M341" si="127">VLOOKUP(I321,IoU_Thresholds,2,TRUE)</f>
        <v>IoU 100</v>
      </c>
      <c r="N321" s="11" t="str">
        <f t="shared" si="113"/>
        <v>IoU 50</v>
      </c>
      <c r="O321" s="11" t="str">
        <f t="shared" si="114"/>
        <v>IoU 50</v>
      </c>
      <c r="Q321">
        <v>0.41848702205119059</v>
      </c>
      <c r="R321">
        <v>0.70855772897029112</v>
      </c>
      <c r="S321">
        <v>0.32818569767537409</v>
      </c>
      <c r="U321" s="11" t="str">
        <f t="shared" si="126"/>
        <v>IoU 50</v>
      </c>
      <c r="V321" s="11" t="str">
        <f t="shared" si="115"/>
        <v>IoU 75</v>
      </c>
      <c r="W321" s="11" t="str">
        <f t="shared" si="116"/>
        <v>IoU 50</v>
      </c>
      <c r="Y321" s="11">
        <v>0.45204929011518885</v>
      </c>
      <c r="Z321" s="11">
        <v>0.27802613480055022</v>
      </c>
      <c r="AA321" s="11">
        <v>0.47554402350554226</v>
      </c>
      <c r="AC321" s="11" t="str">
        <f t="shared" si="125"/>
        <v>IoU 50</v>
      </c>
      <c r="AD321" s="11" t="str">
        <f t="shared" si="117"/>
        <v>IoU 50</v>
      </c>
      <c r="AE321" s="11" t="str">
        <f t="shared" si="118"/>
        <v>IoU 50</v>
      </c>
      <c r="AG321" s="11">
        <v>0.86049967503217717</v>
      </c>
      <c r="AH321" s="11">
        <v>0.40252397960958297</v>
      </c>
      <c r="AI321" s="11">
        <v>0.22647452012919358</v>
      </c>
      <c r="AK321" s="11" t="str">
        <f t="shared" si="124"/>
        <v>IoU 100</v>
      </c>
      <c r="AL321" s="11" t="str">
        <f t="shared" si="119"/>
        <v>IoU 50</v>
      </c>
      <c r="AM321" s="11" t="str">
        <f t="shared" si="120"/>
        <v>IoU 25</v>
      </c>
    </row>
    <row r="322" spans="9:39" ht="15" x14ac:dyDescent="0.25">
      <c r="I322">
        <v>0.40300416982562548</v>
      </c>
      <c r="J322">
        <v>0.27109896782027931</v>
      </c>
      <c r="K322">
        <v>0.55233385876167262</v>
      </c>
      <c r="M322" s="11" t="str">
        <f t="shared" si="127"/>
        <v>IoU 50</v>
      </c>
      <c r="N322" s="11" t="str">
        <f t="shared" si="113"/>
        <v>IoU 50</v>
      </c>
      <c r="O322" s="11" t="str">
        <f t="shared" si="114"/>
        <v>IoU 75</v>
      </c>
      <c r="Q322">
        <v>0.45232011868457922</v>
      </c>
      <c r="R322">
        <v>0.62208410831165684</v>
      </c>
      <c r="S322">
        <v>0.38987177534207584</v>
      </c>
      <c r="U322" s="11" t="str">
        <f t="shared" si="126"/>
        <v>IoU 50</v>
      </c>
      <c r="V322" s="11" t="str">
        <f t="shared" si="115"/>
        <v>IoU 75</v>
      </c>
      <c r="W322" s="11" t="str">
        <f t="shared" si="116"/>
        <v>IoU 50</v>
      </c>
      <c r="Y322" s="11">
        <v>0.41660674480477455</v>
      </c>
      <c r="Z322" s="11">
        <v>0.57933214665820909</v>
      </c>
      <c r="AA322" s="11">
        <v>0.38859319685589139</v>
      </c>
      <c r="AC322" s="11" t="str">
        <f t="shared" si="125"/>
        <v>IoU 50</v>
      </c>
      <c r="AD322" s="11" t="str">
        <f t="shared" si="117"/>
        <v>IoU 75</v>
      </c>
      <c r="AE322" s="11" t="str">
        <f t="shared" si="118"/>
        <v>IoU 50</v>
      </c>
      <c r="AG322" s="11">
        <v>0.41282311201216421</v>
      </c>
      <c r="AH322" s="11">
        <v>0.28329962438601558</v>
      </c>
      <c r="AI322" s="11">
        <v>0.25738260400783292</v>
      </c>
      <c r="AK322" s="11" t="str">
        <f t="shared" si="124"/>
        <v>IoU 50</v>
      </c>
      <c r="AL322" s="11" t="str">
        <f t="shared" si="119"/>
        <v>IoU 50</v>
      </c>
      <c r="AM322" s="11" t="str">
        <f t="shared" si="120"/>
        <v>IoU 50</v>
      </c>
    </row>
    <row r="323" spans="9:39" ht="15" x14ac:dyDescent="0.25">
      <c r="I323">
        <v>0.89281547790960003</v>
      </c>
      <c r="J323">
        <v>0.21790881457780642</v>
      </c>
      <c r="K323">
        <v>0</v>
      </c>
      <c r="M323" s="11" t="str">
        <f t="shared" si="127"/>
        <v>IoU 100</v>
      </c>
      <c r="N323" s="11" t="str">
        <f t="shared" si="113"/>
        <v>IoU 25</v>
      </c>
      <c r="O323" s="11" t="str">
        <f t="shared" si="114"/>
        <v>IoU 25</v>
      </c>
      <c r="Q323">
        <v>0.37191126149625647</v>
      </c>
      <c r="R323">
        <v>0.5551851617484902</v>
      </c>
      <c r="S323">
        <v>0.24922154976465122</v>
      </c>
      <c r="U323" s="11" t="str">
        <f t="shared" si="126"/>
        <v>IoU 50</v>
      </c>
      <c r="V323" s="11" t="str">
        <f t="shared" si="115"/>
        <v>IoU 75</v>
      </c>
      <c r="W323" s="11" t="str">
        <f t="shared" si="116"/>
        <v>IoU 25</v>
      </c>
      <c r="AG323" s="11">
        <v>0.82292379097369017</v>
      </c>
      <c r="AH323" s="11">
        <v>0.18292134831460674</v>
      </c>
      <c r="AI323" s="11">
        <v>0.20280165552371857</v>
      </c>
      <c r="AK323" s="11" t="str">
        <f t="shared" si="124"/>
        <v>IoU 100</v>
      </c>
      <c r="AL323" s="11" t="str">
        <f t="shared" si="119"/>
        <v>IoU 25</v>
      </c>
      <c r="AM323" s="11" t="str">
        <f t="shared" si="120"/>
        <v>IoU 25</v>
      </c>
    </row>
    <row r="324" spans="9:39" ht="15" x14ac:dyDescent="0.25">
      <c r="I324">
        <v>0.85484994979081186</v>
      </c>
      <c r="J324">
        <v>0.41693632147616461</v>
      </c>
      <c r="K324">
        <v>0.38835877862595419</v>
      </c>
      <c r="M324" s="11" t="str">
        <f t="shared" si="127"/>
        <v>IoU 100</v>
      </c>
      <c r="N324" s="11" t="str">
        <f t="shared" si="113"/>
        <v>IoU 50</v>
      </c>
      <c r="O324" s="11" t="str">
        <f t="shared" si="114"/>
        <v>IoU 50</v>
      </c>
      <c r="Q324">
        <v>0.4009480926615332</v>
      </c>
      <c r="R324">
        <v>0.27364048816320613</v>
      </c>
      <c r="S324">
        <v>0.34434091636598024</v>
      </c>
      <c r="U324" s="11" t="str">
        <f t="shared" si="126"/>
        <v>IoU 50</v>
      </c>
      <c r="V324" s="11" t="str">
        <f t="shared" si="115"/>
        <v>IoU 50</v>
      </c>
      <c r="W324" s="11" t="str">
        <f t="shared" si="116"/>
        <v>IoU 50</v>
      </c>
      <c r="Y324" s="11">
        <v>0.52067056047077598</v>
      </c>
      <c r="Z324" s="11">
        <v>0</v>
      </c>
      <c r="AA324" s="11">
        <v>0</v>
      </c>
      <c r="AC324" s="11" t="str">
        <f t="shared" ref="AC324:AC341" si="128">VLOOKUP(Y324,IoU_Thresholds,2,TRUE)</f>
        <v>IoU 75</v>
      </c>
      <c r="AD324" s="11" t="str">
        <f t="shared" si="117"/>
        <v>IoU 25</v>
      </c>
      <c r="AE324" s="11" t="str">
        <f t="shared" si="118"/>
        <v>IoU 25</v>
      </c>
      <c r="AG324" s="11">
        <v>0.80631871126125687</v>
      </c>
      <c r="AH324" s="11">
        <v>0.47089309860442818</v>
      </c>
      <c r="AI324" s="11">
        <v>0.32105467235362545</v>
      </c>
      <c r="AK324" s="11" t="str">
        <f t="shared" si="124"/>
        <v>IoU 100</v>
      </c>
      <c r="AL324" s="11" t="str">
        <f t="shared" si="119"/>
        <v>IoU 50</v>
      </c>
      <c r="AM324" s="11" t="str">
        <f t="shared" si="120"/>
        <v>IoU 50</v>
      </c>
    </row>
    <row r="325" spans="9:39" ht="15" x14ac:dyDescent="0.25">
      <c r="I325">
        <v>0.91171326550220866</v>
      </c>
      <c r="J325">
        <v>0.33034735804769855</v>
      </c>
      <c r="K325">
        <v>0.3835324224505845</v>
      </c>
      <c r="M325" s="11" t="str">
        <f t="shared" si="127"/>
        <v>IoU 100</v>
      </c>
      <c r="N325" s="11" t="str">
        <f t="shared" si="113"/>
        <v>IoU 50</v>
      </c>
      <c r="O325" s="11" t="str">
        <f t="shared" si="114"/>
        <v>IoU 50</v>
      </c>
      <c r="Q325">
        <v>0.42995206582701001</v>
      </c>
      <c r="R325">
        <v>0.39916839916839919</v>
      </c>
      <c r="S325">
        <v>0.52182474059585793</v>
      </c>
      <c r="U325" s="11" t="str">
        <f t="shared" si="126"/>
        <v>IoU 50</v>
      </c>
      <c r="V325" s="11" t="str">
        <f t="shared" si="115"/>
        <v>IoU 50</v>
      </c>
      <c r="W325" s="11" t="str">
        <f t="shared" si="116"/>
        <v>IoU 75</v>
      </c>
      <c r="Y325" s="11">
        <v>0.36140809868439117</v>
      </c>
      <c r="Z325" s="11">
        <v>0.33798589939024393</v>
      </c>
      <c r="AA325" s="11">
        <v>0</v>
      </c>
      <c r="AC325" s="11" t="str">
        <f t="shared" si="128"/>
        <v>IoU 50</v>
      </c>
      <c r="AD325" s="11" t="str">
        <f t="shared" si="117"/>
        <v>IoU 50</v>
      </c>
      <c r="AE325" s="11" t="str">
        <f t="shared" si="118"/>
        <v>IoU 25</v>
      </c>
      <c r="AG325" s="11">
        <v>0.82805078996772874</v>
      </c>
      <c r="AH325" s="11">
        <v>0.51052303957448553</v>
      </c>
      <c r="AI325" s="11">
        <v>0.23389588059488725</v>
      </c>
      <c r="AK325" s="11" t="str">
        <f t="shared" si="124"/>
        <v>IoU 100</v>
      </c>
      <c r="AL325" s="11" t="str">
        <f t="shared" si="119"/>
        <v>IoU 75</v>
      </c>
      <c r="AM325" s="11" t="str">
        <f t="shared" si="120"/>
        <v>IoU 25</v>
      </c>
    </row>
    <row r="326" spans="9:39" ht="15" x14ac:dyDescent="0.25">
      <c r="I326">
        <v>0.82695761984373162</v>
      </c>
      <c r="J326">
        <v>0.32432565952277093</v>
      </c>
      <c r="K326">
        <v>0.24285714285714285</v>
      </c>
      <c r="M326" s="11" t="str">
        <f t="shared" si="127"/>
        <v>IoU 100</v>
      </c>
      <c r="N326" s="11" t="str">
        <f t="shared" si="113"/>
        <v>IoU 50</v>
      </c>
      <c r="O326" s="11" t="str">
        <f t="shared" si="114"/>
        <v>IoU 25</v>
      </c>
      <c r="Q326">
        <v>0.39370755998189227</v>
      </c>
      <c r="R326">
        <v>0.77023475118696338</v>
      </c>
      <c r="S326">
        <v>0.4171593639014371</v>
      </c>
      <c r="U326" s="11" t="str">
        <f t="shared" si="126"/>
        <v>IoU 50</v>
      </c>
      <c r="V326" s="11" t="str">
        <f t="shared" si="115"/>
        <v>IoU 100</v>
      </c>
      <c r="W326" s="11" t="str">
        <f t="shared" si="116"/>
        <v>IoU 50</v>
      </c>
      <c r="Y326" s="11">
        <v>0.44822224090106749</v>
      </c>
      <c r="Z326" s="11">
        <v>0.32879520605550883</v>
      </c>
      <c r="AA326" s="11">
        <v>0.28959584926269799</v>
      </c>
      <c r="AC326" s="11" t="str">
        <f t="shared" si="128"/>
        <v>IoU 50</v>
      </c>
      <c r="AD326" s="11" t="str">
        <f t="shared" si="117"/>
        <v>IoU 50</v>
      </c>
      <c r="AE326" s="11" t="str">
        <f t="shared" si="118"/>
        <v>IoU 50</v>
      </c>
      <c r="AG326" s="11">
        <v>0.27969864211086276</v>
      </c>
      <c r="AH326" s="11">
        <v>0.13530557652013592</v>
      </c>
      <c r="AI326" s="11">
        <v>0</v>
      </c>
      <c r="AK326" s="11" t="str">
        <f t="shared" si="124"/>
        <v>IoU 50</v>
      </c>
      <c r="AL326" s="11" t="str">
        <f t="shared" si="119"/>
        <v>IoU 25</v>
      </c>
      <c r="AM326" s="11" t="str">
        <f t="shared" si="120"/>
        <v>IoU 25</v>
      </c>
    </row>
    <row r="327" spans="9:39" ht="15" x14ac:dyDescent="0.25">
      <c r="I327">
        <v>0.86575226008883255</v>
      </c>
      <c r="J327">
        <v>0.34739099356683345</v>
      </c>
      <c r="K327">
        <v>0.35810081701865271</v>
      </c>
      <c r="M327" s="11" t="str">
        <f t="shared" si="127"/>
        <v>IoU 100</v>
      </c>
      <c r="N327" s="11" t="str">
        <f t="shared" si="113"/>
        <v>IoU 50</v>
      </c>
      <c r="O327" s="11" t="str">
        <f t="shared" si="114"/>
        <v>IoU 50</v>
      </c>
      <c r="Q327">
        <v>0.46831978693199972</v>
      </c>
      <c r="R327">
        <v>0.37647108268062029</v>
      </c>
      <c r="S327">
        <v>0.38121167650166593</v>
      </c>
      <c r="U327" s="11" t="str">
        <f t="shared" si="126"/>
        <v>IoU 50</v>
      </c>
      <c r="V327" s="11" t="str">
        <f t="shared" si="115"/>
        <v>IoU 50</v>
      </c>
      <c r="W327" s="11" t="str">
        <f t="shared" si="116"/>
        <v>IoU 50</v>
      </c>
      <c r="Y327" s="11">
        <v>0</v>
      </c>
      <c r="Z327" s="11">
        <v>0.24890814881312229</v>
      </c>
      <c r="AA327" s="11">
        <v>0</v>
      </c>
      <c r="AC327" s="11" t="str">
        <f t="shared" si="128"/>
        <v>IoU 25</v>
      </c>
      <c r="AD327" s="11" t="str">
        <f t="shared" si="117"/>
        <v>IoU 25</v>
      </c>
      <c r="AE327" s="11" t="str">
        <f t="shared" si="118"/>
        <v>IoU 25</v>
      </c>
      <c r="AG327" s="11">
        <v>0.73195607978886734</v>
      </c>
      <c r="AH327" s="11">
        <v>0.30624485475714452</v>
      </c>
      <c r="AI327" s="11">
        <v>0.29079307201458521</v>
      </c>
      <c r="AK327" s="11" t="str">
        <f t="shared" si="124"/>
        <v>IoU 75</v>
      </c>
      <c r="AL327" s="11" t="str">
        <f t="shared" si="119"/>
        <v>IoU 50</v>
      </c>
      <c r="AM327" s="11" t="str">
        <f t="shared" si="120"/>
        <v>IoU 50</v>
      </c>
    </row>
    <row r="328" spans="9:39" ht="15" x14ac:dyDescent="0.25">
      <c r="I328">
        <v>0.88971242177293508</v>
      </c>
      <c r="J328">
        <v>0.45706100732004756</v>
      </c>
      <c r="K328">
        <v>0.32596046634657155</v>
      </c>
      <c r="M328" s="11" t="str">
        <f t="shared" si="127"/>
        <v>IoU 100</v>
      </c>
      <c r="N328" s="11" t="str">
        <f t="shared" si="113"/>
        <v>IoU 50</v>
      </c>
      <c r="O328" s="11" t="str">
        <f t="shared" si="114"/>
        <v>IoU 50</v>
      </c>
      <c r="Q328">
        <v>0.41604362946274426</v>
      </c>
      <c r="R328">
        <v>0.61014293438652301</v>
      </c>
      <c r="S328">
        <v>0.57285360116600437</v>
      </c>
      <c r="U328" s="11" t="str">
        <f t="shared" si="126"/>
        <v>IoU 50</v>
      </c>
      <c r="V328" s="11" t="str">
        <f t="shared" si="115"/>
        <v>IoU 75</v>
      </c>
      <c r="W328" s="11" t="str">
        <f t="shared" si="116"/>
        <v>IoU 75</v>
      </c>
      <c r="Y328" s="11">
        <v>0.77836131602470737</v>
      </c>
      <c r="Z328" s="11">
        <v>0.33833100461722543</v>
      </c>
      <c r="AA328" s="11">
        <v>0.34469353970725891</v>
      </c>
      <c r="AC328" s="11" t="str">
        <f t="shared" si="128"/>
        <v>IoU 100</v>
      </c>
      <c r="AD328" s="11" t="str">
        <f t="shared" si="117"/>
        <v>IoU 50</v>
      </c>
      <c r="AE328" s="11" t="str">
        <f t="shared" si="118"/>
        <v>IoU 50</v>
      </c>
      <c r="AG328" s="11">
        <v>0.79304875519713325</v>
      </c>
      <c r="AH328" s="11">
        <v>0.25429889556829305</v>
      </c>
      <c r="AI328" s="11">
        <v>0.34340931615460851</v>
      </c>
      <c r="AK328" s="11" t="str">
        <f t="shared" ref="AK328:AK341" si="129">VLOOKUP(AG328,IoU_Thresholds,2,TRUE)</f>
        <v>IoU 100</v>
      </c>
      <c r="AL328" s="11" t="str">
        <f t="shared" si="119"/>
        <v>IoU 50</v>
      </c>
      <c r="AM328" s="11" t="str">
        <f t="shared" si="120"/>
        <v>IoU 50</v>
      </c>
    </row>
    <row r="329" spans="9:39" ht="15" x14ac:dyDescent="0.25">
      <c r="I329">
        <v>0.85984497183794595</v>
      </c>
      <c r="J329">
        <v>0.36748235219328679</v>
      </c>
      <c r="K329">
        <v>0.38112503835956263</v>
      </c>
      <c r="M329" s="11" t="str">
        <f t="shared" si="127"/>
        <v>IoU 100</v>
      </c>
      <c r="N329" s="11" t="str">
        <f t="shared" si="113"/>
        <v>IoU 50</v>
      </c>
      <c r="O329" s="11" t="str">
        <f t="shared" si="114"/>
        <v>IoU 50</v>
      </c>
      <c r="Q329">
        <v>0.46197771668927595</v>
      </c>
      <c r="R329">
        <v>0.69180808384504611</v>
      </c>
      <c r="S329">
        <v>0.34716162424137609</v>
      </c>
      <c r="U329" s="11" t="str">
        <f t="shared" si="126"/>
        <v>IoU 50</v>
      </c>
      <c r="V329" s="11" t="str">
        <f t="shared" si="115"/>
        <v>IoU 75</v>
      </c>
      <c r="W329" s="11" t="str">
        <f t="shared" si="116"/>
        <v>IoU 50</v>
      </c>
      <c r="Y329" s="11">
        <v>0.23703154384737032</v>
      </c>
      <c r="Z329" s="11">
        <v>0</v>
      </c>
      <c r="AA329" s="11">
        <v>6.2313599424048217E-2</v>
      </c>
      <c r="AC329" s="11" t="str">
        <f t="shared" si="128"/>
        <v>IoU 25</v>
      </c>
      <c r="AD329" s="11" t="str">
        <f t="shared" si="117"/>
        <v>IoU 25</v>
      </c>
      <c r="AE329" s="11" t="str">
        <f t="shared" si="118"/>
        <v>IoU 25</v>
      </c>
      <c r="AG329" s="11">
        <v>0.82985524304283542</v>
      </c>
      <c r="AH329" s="11">
        <v>0.41833616298811543</v>
      </c>
      <c r="AI329" s="11">
        <v>0.37946641257741781</v>
      </c>
      <c r="AK329" s="11" t="str">
        <f t="shared" si="129"/>
        <v>IoU 100</v>
      </c>
      <c r="AL329" s="11" t="str">
        <f t="shared" si="119"/>
        <v>IoU 50</v>
      </c>
      <c r="AM329" s="11" t="str">
        <f t="shared" si="120"/>
        <v>IoU 50</v>
      </c>
    </row>
    <row r="330" spans="9:39" ht="15" x14ac:dyDescent="0.25">
      <c r="I330">
        <v>0.80156670744359504</v>
      </c>
      <c r="J330">
        <v>0.47484657187072121</v>
      </c>
      <c r="K330">
        <v>0.3666883963494133</v>
      </c>
      <c r="M330" s="11" t="str">
        <f t="shared" si="127"/>
        <v>IoU 100</v>
      </c>
      <c r="N330" s="11" t="str">
        <f t="shared" si="113"/>
        <v>IoU 50</v>
      </c>
      <c r="O330" s="11" t="str">
        <f t="shared" si="114"/>
        <v>IoU 50</v>
      </c>
      <c r="Q330">
        <v>0.41146417278600939</v>
      </c>
      <c r="R330">
        <v>0.69617177834658861</v>
      </c>
      <c r="S330">
        <v>0.30806380153157614</v>
      </c>
      <c r="U330" s="11" t="str">
        <f t="shared" si="126"/>
        <v>IoU 50</v>
      </c>
      <c r="V330" s="11" t="str">
        <f t="shared" si="115"/>
        <v>IoU 75</v>
      </c>
      <c r="W330" s="11" t="str">
        <f t="shared" si="116"/>
        <v>IoU 50</v>
      </c>
      <c r="Y330" s="11">
        <v>0.45809196234612598</v>
      </c>
      <c r="Z330" s="11">
        <v>0.2760768335273574</v>
      </c>
      <c r="AA330" s="11">
        <v>0.34782608695652173</v>
      </c>
      <c r="AC330" s="11" t="str">
        <f t="shared" si="128"/>
        <v>IoU 50</v>
      </c>
      <c r="AD330" s="11" t="str">
        <f t="shared" si="117"/>
        <v>IoU 50</v>
      </c>
      <c r="AE330" s="11" t="str">
        <f t="shared" si="118"/>
        <v>IoU 50</v>
      </c>
      <c r="AG330" s="11">
        <v>0.86522097598872105</v>
      </c>
      <c r="AH330" s="11">
        <v>0.5816043216123532</v>
      </c>
      <c r="AI330" s="11">
        <v>0.30753892897835167</v>
      </c>
      <c r="AK330" s="11" t="str">
        <f t="shared" si="129"/>
        <v>IoU 100</v>
      </c>
      <c r="AL330" s="11" t="str">
        <f t="shared" si="119"/>
        <v>IoU 75</v>
      </c>
      <c r="AM330" s="11" t="str">
        <f t="shared" si="120"/>
        <v>IoU 50</v>
      </c>
    </row>
    <row r="331" spans="9:39" ht="15" x14ac:dyDescent="0.25">
      <c r="I331">
        <v>0.87382729690377881</v>
      </c>
      <c r="J331">
        <v>0.2653564752013996</v>
      </c>
      <c r="K331">
        <v>0.25593761077632043</v>
      </c>
      <c r="M331" s="11" t="str">
        <f t="shared" si="127"/>
        <v>IoU 100</v>
      </c>
      <c r="N331" s="11" t="str">
        <f t="shared" si="113"/>
        <v>IoU 50</v>
      </c>
      <c r="O331" s="11" t="str">
        <f t="shared" si="114"/>
        <v>IoU 50</v>
      </c>
      <c r="Q331">
        <v>0.45703039580144328</v>
      </c>
      <c r="R331">
        <v>0.37506435086846113</v>
      </c>
      <c r="S331">
        <v>0.29113924050632911</v>
      </c>
      <c r="U331" s="11" t="str">
        <f t="shared" si="126"/>
        <v>IoU 50</v>
      </c>
      <c r="V331" s="11" t="str">
        <f t="shared" si="115"/>
        <v>IoU 50</v>
      </c>
      <c r="W331" s="11" t="str">
        <f t="shared" si="116"/>
        <v>IoU 50</v>
      </c>
      <c r="Y331" s="11">
        <v>0.68657749625536058</v>
      </c>
      <c r="Z331" s="11">
        <v>0.33984794305499411</v>
      </c>
      <c r="AA331" s="11">
        <v>0.22879314958522878</v>
      </c>
      <c r="AC331" s="11" t="str">
        <f t="shared" si="128"/>
        <v>IoU 75</v>
      </c>
      <c r="AD331" s="11" t="str">
        <f t="shared" si="117"/>
        <v>IoU 50</v>
      </c>
      <c r="AE331" s="11" t="str">
        <f t="shared" si="118"/>
        <v>IoU 25</v>
      </c>
      <c r="AG331" s="11">
        <v>0.80394592271932752</v>
      </c>
      <c r="AH331" s="11">
        <v>0.36189638462885265</v>
      </c>
      <c r="AI331" s="11">
        <v>0.37392391646852619</v>
      </c>
      <c r="AK331" s="11" t="str">
        <f t="shared" si="129"/>
        <v>IoU 100</v>
      </c>
      <c r="AL331" s="11" t="str">
        <f t="shared" si="119"/>
        <v>IoU 50</v>
      </c>
      <c r="AM331" s="11" t="str">
        <f t="shared" si="120"/>
        <v>IoU 50</v>
      </c>
    </row>
    <row r="332" spans="9:39" ht="15" x14ac:dyDescent="0.25">
      <c r="I332">
        <v>0.8659970621230243</v>
      </c>
      <c r="J332">
        <v>0.60133961236689781</v>
      </c>
      <c r="K332">
        <v>0.32186518782469598</v>
      </c>
      <c r="M332" s="11" t="str">
        <f t="shared" si="127"/>
        <v>IoU 100</v>
      </c>
      <c r="N332" s="11" t="str">
        <f t="shared" si="113"/>
        <v>IoU 75</v>
      </c>
      <c r="O332" s="11" t="str">
        <f t="shared" si="114"/>
        <v>IoU 50</v>
      </c>
      <c r="Q332">
        <v>0.41155862836991325</v>
      </c>
      <c r="R332">
        <v>0.50933075443867248</v>
      </c>
      <c r="S332">
        <v>0.37408670238675107</v>
      </c>
      <c r="U332" s="11" t="str">
        <f t="shared" si="126"/>
        <v>IoU 50</v>
      </c>
      <c r="V332" s="11" t="str">
        <f t="shared" si="115"/>
        <v>IoU 75</v>
      </c>
      <c r="W332" s="11" t="str">
        <f t="shared" si="116"/>
        <v>IoU 50</v>
      </c>
      <c r="Y332" s="11">
        <v>0.68830940118397188</v>
      </c>
      <c r="Z332" s="11">
        <v>0.23386722376973074</v>
      </c>
      <c r="AA332" s="11">
        <v>0.36339481087839948</v>
      </c>
      <c r="AC332" s="11" t="str">
        <f t="shared" si="128"/>
        <v>IoU 75</v>
      </c>
      <c r="AD332" s="11" t="str">
        <f t="shared" si="117"/>
        <v>IoU 25</v>
      </c>
      <c r="AE332" s="11" t="str">
        <f t="shared" si="118"/>
        <v>IoU 50</v>
      </c>
      <c r="AG332" s="11">
        <v>0.81968305414184628</v>
      </c>
      <c r="AH332" s="11">
        <v>0.67857854566469378</v>
      </c>
      <c r="AI332" s="11">
        <v>0.32068516912402428</v>
      </c>
      <c r="AK332" s="11" t="str">
        <f t="shared" si="129"/>
        <v>IoU 100</v>
      </c>
      <c r="AL332" s="11" t="str">
        <f t="shared" si="119"/>
        <v>IoU 75</v>
      </c>
      <c r="AM332" s="11" t="str">
        <f t="shared" si="120"/>
        <v>IoU 50</v>
      </c>
    </row>
    <row r="333" spans="9:39" ht="15" x14ac:dyDescent="0.25">
      <c r="I333">
        <v>0.86334913832840177</v>
      </c>
      <c r="J333">
        <v>0.33456480901690672</v>
      </c>
      <c r="K333">
        <v>0.43400486279958317</v>
      </c>
      <c r="M333" s="11" t="str">
        <f t="shared" si="127"/>
        <v>IoU 100</v>
      </c>
      <c r="N333" s="11" t="str">
        <f t="shared" si="113"/>
        <v>IoU 50</v>
      </c>
      <c r="O333" s="11" t="str">
        <f t="shared" si="114"/>
        <v>IoU 50</v>
      </c>
      <c r="Q333">
        <v>0.64841855739265486</v>
      </c>
      <c r="R333">
        <v>0</v>
      </c>
      <c r="S333">
        <v>0</v>
      </c>
      <c r="U333" s="11" t="str">
        <f t="shared" si="126"/>
        <v>IoU 75</v>
      </c>
      <c r="V333" s="11" t="str">
        <f t="shared" si="115"/>
        <v>IoU 25</v>
      </c>
      <c r="W333" s="11" t="str">
        <f t="shared" si="116"/>
        <v>IoU 25</v>
      </c>
      <c r="Y333" s="11">
        <v>0.77633534694057482</v>
      </c>
      <c r="Z333" s="11">
        <v>0.31466049982657779</v>
      </c>
      <c r="AA333" s="11">
        <v>0.29302185235201084</v>
      </c>
      <c r="AC333" s="11" t="str">
        <f t="shared" si="128"/>
        <v>IoU 100</v>
      </c>
      <c r="AD333" s="11" t="str">
        <f t="shared" si="117"/>
        <v>IoU 50</v>
      </c>
      <c r="AE333" s="11" t="str">
        <f t="shared" si="118"/>
        <v>IoU 50</v>
      </c>
      <c r="AG333" s="11">
        <v>0.78609120499230323</v>
      </c>
      <c r="AH333" s="11">
        <v>0.73337011511287686</v>
      </c>
      <c r="AI333" s="11">
        <v>0.29884370115142583</v>
      </c>
      <c r="AK333" s="11" t="str">
        <f t="shared" si="129"/>
        <v>IoU 100</v>
      </c>
      <c r="AL333" s="11" t="str">
        <f t="shared" si="119"/>
        <v>IoU 75</v>
      </c>
      <c r="AM333" s="11" t="str">
        <f t="shared" si="120"/>
        <v>IoU 50</v>
      </c>
    </row>
    <row r="334" spans="9:39" ht="15" x14ac:dyDescent="0.25">
      <c r="I334">
        <v>0.66214093148094311</v>
      </c>
      <c r="J334">
        <v>0.51446874211596816</v>
      </c>
      <c r="K334">
        <v>0.4097291346953329</v>
      </c>
      <c r="M334" s="11" t="str">
        <f t="shared" si="127"/>
        <v>IoU 75</v>
      </c>
      <c r="N334" s="11" t="str">
        <f t="shared" si="113"/>
        <v>IoU 75</v>
      </c>
      <c r="O334" s="11" t="str">
        <f t="shared" si="114"/>
        <v>IoU 50</v>
      </c>
      <c r="Q334">
        <v>0.51166618019257504</v>
      </c>
      <c r="R334">
        <v>0.35597233290932184</v>
      </c>
      <c r="S334">
        <v>0.27029578696616291</v>
      </c>
      <c r="U334" s="11" t="str">
        <f t="shared" si="126"/>
        <v>IoU 75</v>
      </c>
      <c r="V334" s="11" t="str">
        <f t="shared" si="115"/>
        <v>IoU 50</v>
      </c>
      <c r="W334" s="11" t="str">
        <f t="shared" si="116"/>
        <v>IoU 50</v>
      </c>
      <c r="Y334" s="11">
        <v>0.4814122376418189</v>
      </c>
      <c r="Z334" s="11">
        <v>0.7751808304657144</v>
      </c>
      <c r="AA334" s="11">
        <v>0.44456998235010903</v>
      </c>
      <c r="AC334" s="11" t="str">
        <f t="shared" si="128"/>
        <v>IoU 50</v>
      </c>
      <c r="AD334" s="11" t="str">
        <f t="shared" si="117"/>
        <v>IoU 100</v>
      </c>
      <c r="AE334" s="11" t="str">
        <f t="shared" si="118"/>
        <v>IoU 50</v>
      </c>
      <c r="AG334" s="11">
        <v>0.80085726900237697</v>
      </c>
      <c r="AH334" s="11">
        <v>0.38235294117647056</v>
      </c>
      <c r="AI334" s="11">
        <v>0.38962558502340094</v>
      </c>
      <c r="AK334" s="11" t="str">
        <f t="shared" si="129"/>
        <v>IoU 100</v>
      </c>
      <c r="AL334" s="11" t="str">
        <f t="shared" si="119"/>
        <v>IoU 50</v>
      </c>
      <c r="AM334" s="11" t="str">
        <f t="shared" si="120"/>
        <v>IoU 50</v>
      </c>
    </row>
    <row r="335" spans="9:39" ht="15" x14ac:dyDescent="0.25">
      <c r="I335">
        <v>0.8575375216731238</v>
      </c>
      <c r="J335">
        <v>0.26442059016532643</v>
      </c>
      <c r="K335">
        <v>0.35490688906660572</v>
      </c>
      <c r="M335" s="11" t="str">
        <f t="shared" si="127"/>
        <v>IoU 100</v>
      </c>
      <c r="N335" s="11" t="str">
        <f t="shared" si="113"/>
        <v>IoU 50</v>
      </c>
      <c r="O335" s="11" t="str">
        <f t="shared" si="114"/>
        <v>IoU 50</v>
      </c>
      <c r="Q335">
        <v>0.5591609005489222</v>
      </c>
      <c r="R335">
        <v>0.33126396821455178</v>
      </c>
      <c r="S335">
        <v>0.4348064389840291</v>
      </c>
      <c r="U335" s="11" t="str">
        <f t="shared" si="126"/>
        <v>IoU 75</v>
      </c>
      <c r="V335" s="11" t="str">
        <f t="shared" si="115"/>
        <v>IoU 50</v>
      </c>
      <c r="W335" s="11" t="str">
        <f t="shared" si="116"/>
        <v>IoU 50</v>
      </c>
      <c r="Y335" s="11">
        <v>0.4240383397871425</v>
      </c>
      <c r="Z335" s="11">
        <v>0.4771477786187811</v>
      </c>
      <c r="AA335" s="11">
        <v>0.39909369351155144</v>
      </c>
      <c r="AC335" s="11" t="str">
        <f t="shared" si="128"/>
        <v>IoU 50</v>
      </c>
      <c r="AD335" s="11" t="str">
        <f t="shared" si="117"/>
        <v>IoU 50</v>
      </c>
      <c r="AE335" s="11" t="str">
        <f t="shared" si="118"/>
        <v>IoU 50</v>
      </c>
      <c r="AG335" s="11">
        <v>0.90342163717816404</v>
      </c>
      <c r="AH335" s="11">
        <v>0.41105726360976097</v>
      </c>
      <c r="AI335" s="11">
        <v>0.24546523345649984</v>
      </c>
      <c r="AK335" s="11" t="str">
        <f t="shared" si="129"/>
        <v>IoU 100</v>
      </c>
      <c r="AL335" s="11" t="str">
        <f t="shared" si="119"/>
        <v>IoU 50</v>
      </c>
      <c r="AM335" s="11" t="str">
        <f t="shared" si="120"/>
        <v>IoU 25</v>
      </c>
    </row>
    <row r="336" spans="9:39" ht="15" x14ac:dyDescent="0.25">
      <c r="I336">
        <v>0.77126246222985417</v>
      </c>
      <c r="J336">
        <v>0.41119531732708492</v>
      </c>
      <c r="K336">
        <v>0.34118127463841635</v>
      </c>
      <c r="M336" s="11" t="str">
        <f t="shared" si="127"/>
        <v>IoU 100</v>
      </c>
      <c r="N336" s="11" t="str">
        <f t="shared" si="113"/>
        <v>IoU 50</v>
      </c>
      <c r="O336" s="11" t="str">
        <f t="shared" si="114"/>
        <v>IoU 50</v>
      </c>
      <c r="Q336">
        <v>0.23922073729234825</v>
      </c>
      <c r="R336">
        <v>0</v>
      </c>
      <c r="S336">
        <v>0</v>
      </c>
      <c r="U336" s="11" t="str">
        <f t="shared" si="126"/>
        <v>IoU 25</v>
      </c>
      <c r="V336" s="11" t="str">
        <f t="shared" si="115"/>
        <v>IoU 25</v>
      </c>
      <c r="W336" s="11" t="str">
        <f t="shared" si="116"/>
        <v>IoU 25</v>
      </c>
      <c r="Y336" s="11">
        <v>4.5572175294050062E-2</v>
      </c>
      <c r="Z336" s="11">
        <v>0</v>
      </c>
      <c r="AA336" s="11">
        <v>7.4375621688369142E-2</v>
      </c>
      <c r="AC336" s="11" t="str">
        <f t="shared" si="128"/>
        <v>IoU 25</v>
      </c>
      <c r="AD336" s="11" t="str">
        <f t="shared" si="117"/>
        <v>IoU 25</v>
      </c>
      <c r="AE336" s="11" t="str">
        <f t="shared" si="118"/>
        <v>IoU 25</v>
      </c>
      <c r="AG336" s="11">
        <v>0.76899682528182267</v>
      </c>
      <c r="AH336" s="11">
        <v>0.23186653771760155</v>
      </c>
      <c r="AI336" s="11">
        <v>0.349917593737124</v>
      </c>
      <c r="AK336" s="11" t="str">
        <f t="shared" si="129"/>
        <v>IoU 100</v>
      </c>
      <c r="AL336" s="11" t="str">
        <f t="shared" si="119"/>
        <v>IoU 25</v>
      </c>
      <c r="AM336" s="11" t="str">
        <f t="shared" si="120"/>
        <v>IoU 50</v>
      </c>
    </row>
    <row r="337" spans="9:39" ht="15" x14ac:dyDescent="0.25">
      <c r="I337">
        <v>0.811365581277117</v>
      </c>
      <c r="J337">
        <v>0.46911864059222164</v>
      </c>
      <c r="K337">
        <v>0.40600948938134895</v>
      </c>
      <c r="M337" s="11" t="str">
        <f t="shared" si="127"/>
        <v>IoU 100</v>
      </c>
      <c r="N337" s="11" t="str">
        <f t="shared" si="113"/>
        <v>IoU 50</v>
      </c>
      <c r="O337" s="11" t="str">
        <f t="shared" si="114"/>
        <v>IoU 50</v>
      </c>
      <c r="Q337">
        <v>0.44853535177678916</v>
      </c>
      <c r="R337">
        <v>0.21555058925080633</v>
      </c>
      <c r="S337">
        <v>0.35653910401963912</v>
      </c>
      <c r="U337" s="11" t="str">
        <f t="shared" si="126"/>
        <v>IoU 50</v>
      </c>
      <c r="V337" s="11" t="str">
        <f t="shared" si="115"/>
        <v>IoU 25</v>
      </c>
      <c r="W337" s="11" t="str">
        <f t="shared" si="116"/>
        <v>IoU 50</v>
      </c>
      <c r="Y337" s="11">
        <v>0.83364366187312844</v>
      </c>
      <c r="Z337" s="11">
        <v>0.41575896650837962</v>
      </c>
      <c r="AA337" s="11">
        <v>0.34709878367097563</v>
      </c>
      <c r="AC337" s="11" t="str">
        <f t="shared" si="128"/>
        <v>IoU 100</v>
      </c>
      <c r="AD337" s="11" t="str">
        <f t="shared" si="117"/>
        <v>IoU 50</v>
      </c>
      <c r="AE337" s="11" t="str">
        <f t="shared" si="118"/>
        <v>IoU 50</v>
      </c>
      <c r="AG337" s="11">
        <v>0.70228114270207809</v>
      </c>
      <c r="AH337" s="11">
        <v>0.25907911802853439</v>
      </c>
      <c r="AI337" s="11">
        <v>0.31974701335207306</v>
      </c>
      <c r="AK337" s="11" t="str">
        <f t="shared" si="129"/>
        <v>IoU 75</v>
      </c>
      <c r="AL337" s="11" t="str">
        <f t="shared" si="119"/>
        <v>IoU 50</v>
      </c>
      <c r="AM337" s="11" t="str">
        <f t="shared" si="120"/>
        <v>IoU 50</v>
      </c>
    </row>
    <row r="338" spans="9:39" ht="15" x14ac:dyDescent="0.25">
      <c r="I338">
        <v>0.44837775495428756</v>
      </c>
      <c r="J338">
        <v>0.32989239649659985</v>
      </c>
      <c r="K338">
        <v>0.45561671269589349</v>
      </c>
      <c r="M338" s="11" t="str">
        <f t="shared" si="127"/>
        <v>IoU 50</v>
      </c>
      <c r="N338" s="11" t="str">
        <f t="shared" si="113"/>
        <v>IoU 50</v>
      </c>
      <c r="O338" s="11" t="str">
        <f t="shared" si="114"/>
        <v>IoU 50</v>
      </c>
      <c r="Q338">
        <v>0.39600443999927432</v>
      </c>
      <c r="R338">
        <v>0.74875658212726504</v>
      </c>
      <c r="S338">
        <v>0.44550809209115438</v>
      </c>
      <c r="U338" s="11" t="str">
        <f t="shared" si="126"/>
        <v>IoU 50</v>
      </c>
      <c r="V338" s="11" t="str">
        <f t="shared" si="115"/>
        <v>IoU 75</v>
      </c>
      <c r="W338" s="11" t="str">
        <f t="shared" si="116"/>
        <v>IoU 50</v>
      </c>
      <c r="Y338" s="11">
        <v>0.86175536881419235</v>
      </c>
      <c r="Z338" s="11">
        <v>0.34635446195713798</v>
      </c>
      <c r="AA338" s="11">
        <v>0.34601941747572817</v>
      </c>
      <c r="AC338" s="11" t="str">
        <f t="shared" si="128"/>
        <v>IoU 100</v>
      </c>
      <c r="AD338" s="11" t="str">
        <f t="shared" si="117"/>
        <v>IoU 50</v>
      </c>
      <c r="AE338" s="11" t="str">
        <f t="shared" si="118"/>
        <v>IoU 50</v>
      </c>
      <c r="AG338" s="11">
        <v>0.75918715890868493</v>
      </c>
      <c r="AH338" s="11">
        <v>0.26423747433710904</v>
      </c>
      <c r="AI338" s="11">
        <v>0.22843639523499723</v>
      </c>
      <c r="AK338" s="11" t="str">
        <f t="shared" si="129"/>
        <v>IoU 100</v>
      </c>
      <c r="AL338" s="11" t="str">
        <f t="shared" si="119"/>
        <v>IoU 50</v>
      </c>
      <c r="AM338" s="11" t="str">
        <f t="shared" si="120"/>
        <v>IoU 25</v>
      </c>
    </row>
    <row r="339" spans="9:39" ht="15" x14ac:dyDescent="0.25">
      <c r="I339">
        <v>0.44712113424716859</v>
      </c>
      <c r="J339">
        <v>0.58430223992133778</v>
      </c>
      <c r="K339">
        <v>0.27102378519155512</v>
      </c>
      <c r="M339" s="11" t="str">
        <f t="shared" si="127"/>
        <v>IoU 50</v>
      </c>
      <c r="N339" s="11" t="str">
        <f t="shared" si="113"/>
        <v>IoU 75</v>
      </c>
      <c r="O339" s="11" t="str">
        <f t="shared" si="114"/>
        <v>IoU 50</v>
      </c>
      <c r="Q339">
        <v>0</v>
      </c>
      <c r="R339">
        <v>0.37270378929564918</v>
      </c>
      <c r="S339">
        <v>5.2995878731414467E-2</v>
      </c>
      <c r="U339" s="11" t="str">
        <f t="shared" si="126"/>
        <v>IoU 25</v>
      </c>
      <c r="V339" s="11" t="str">
        <f t="shared" si="115"/>
        <v>IoU 50</v>
      </c>
      <c r="W339" s="11" t="str">
        <f t="shared" si="116"/>
        <v>IoU 25</v>
      </c>
      <c r="Y339" s="11">
        <v>0.42783351799762936</v>
      </c>
      <c r="Z339" s="11">
        <v>0.38490308488663971</v>
      </c>
      <c r="AA339" s="11">
        <v>0.37318862122477997</v>
      </c>
      <c r="AC339" s="11" t="str">
        <f t="shared" si="128"/>
        <v>IoU 50</v>
      </c>
      <c r="AD339" s="11" t="str">
        <f t="shared" si="117"/>
        <v>IoU 50</v>
      </c>
      <c r="AE339" s="11" t="str">
        <f t="shared" si="118"/>
        <v>IoU 50</v>
      </c>
      <c r="AG339" s="11">
        <v>0.7469112496063417</v>
      </c>
      <c r="AH339" s="11">
        <v>0.37855170570945046</v>
      </c>
      <c r="AI339" s="11">
        <v>0.19661733615221988</v>
      </c>
      <c r="AK339" s="11" t="str">
        <f t="shared" si="129"/>
        <v>IoU 75</v>
      </c>
      <c r="AL339" s="11" t="str">
        <f t="shared" si="119"/>
        <v>IoU 50</v>
      </c>
      <c r="AM339" s="11" t="str">
        <f t="shared" si="120"/>
        <v>IoU 25</v>
      </c>
    </row>
    <row r="340" spans="9:39" ht="15" x14ac:dyDescent="0.25">
      <c r="I340">
        <v>0.8625732989374868</v>
      </c>
      <c r="J340">
        <v>0.74152397048130536</v>
      </c>
      <c r="K340">
        <v>0.35048534304865264</v>
      </c>
      <c r="M340" s="11" t="str">
        <f t="shared" si="127"/>
        <v>IoU 100</v>
      </c>
      <c r="N340" s="11" t="str">
        <f t="shared" si="113"/>
        <v>IoU 75</v>
      </c>
      <c r="O340" s="11" t="str">
        <f t="shared" si="114"/>
        <v>IoU 50</v>
      </c>
      <c r="Q340">
        <v>0</v>
      </c>
      <c r="R340">
        <v>0.14588537885077152</v>
      </c>
      <c r="S340">
        <v>0.71453171730225917</v>
      </c>
      <c r="U340" s="11" t="str">
        <f t="shared" si="126"/>
        <v>IoU 25</v>
      </c>
      <c r="V340" s="11" t="str">
        <f t="shared" si="115"/>
        <v>IoU 25</v>
      </c>
      <c r="W340" s="11" t="str">
        <f t="shared" si="116"/>
        <v>IoU 75</v>
      </c>
      <c r="Y340" s="11">
        <v>0.69936798228234931</v>
      </c>
      <c r="Z340" s="11">
        <v>0.23785051076825045</v>
      </c>
      <c r="AA340" s="11">
        <v>0.34319004571284756</v>
      </c>
      <c r="AC340" s="11" t="str">
        <f t="shared" si="128"/>
        <v>IoU 75</v>
      </c>
      <c r="AD340" s="11" t="str">
        <f t="shared" si="117"/>
        <v>IoU 25</v>
      </c>
      <c r="AE340" s="11" t="str">
        <f t="shared" si="118"/>
        <v>IoU 50</v>
      </c>
      <c r="AG340" s="11">
        <v>0.83807042719251834</v>
      </c>
      <c r="AH340" s="11">
        <v>0.32346241457858771</v>
      </c>
      <c r="AI340" s="11">
        <v>0.43035343035343038</v>
      </c>
      <c r="AK340" s="11" t="str">
        <f t="shared" si="129"/>
        <v>IoU 100</v>
      </c>
      <c r="AL340" s="11" t="str">
        <f t="shared" si="119"/>
        <v>IoU 50</v>
      </c>
      <c r="AM340" s="11" t="str">
        <f t="shared" si="120"/>
        <v>IoU 50</v>
      </c>
    </row>
    <row r="341" spans="9:39" ht="15" x14ac:dyDescent="0.25">
      <c r="I341">
        <v>0.88561841900597282</v>
      </c>
      <c r="J341">
        <v>0.39764359351988215</v>
      </c>
      <c r="K341">
        <v>0.31414634146341464</v>
      </c>
      <c r="M341" s="11" t="str">
        <f t="shared" si="127"/>
        <v>IoU 100</v>
      </c>
      <c r="N341" s="11" t="str">
        <f t="shared" si="113"/>
        <v>IoU 50</v>
      </c>
      <c r="O341" s="11" t="str">
        <f t="shared" si="114"/>
        <v>IoU 50</v>
      </c>
      <c r="Q341">
        <v>0.43741362290227048</v>
      </c>
      <c r="R341">
        <v>0.39175492258983236</v>
      </c>
      <c r="S341">
        <v>0.34380107401354193</v>
      </c>
      <c r="U341" s="11" t="str">
        <f t="shared" si="126"/>
        <v>IoU 50</v>
      </c>
      <c r="V341" s="11" t="str">
        <f t="shared" si="115"/>
        <v>IoU 50</v>
      </c>
      <c r="W341" s="11" t="str">
        <f t="shared" si="116"/>
        <v>IoU 50</v>
      </c>
      <c r="Y341" s="11">
        <v>0.42260941883094477</v>
      </c>
      <c r="Z341" s="11">
        <v>0</v>
      </c>
      <c r="AA341" s="11">
        <v>0.33205360292804209</v>
      </c>
      <c r="AC341" s="11" t="str">
        <f t="shared" si="128"/>
        <v>IoU 50</v>
      </c>
      <c r="AD341" s="11" t="str">
        <f t="shared" si="117"/>
        <v>IoU 25</v>
      </c>
      <c r="AE341" s="11" t="str">
        <f t="shared" si="118"/>
        <v>IoU 50</v>
      </c>
      <c r="AG341" s="11">
        <v>0.80582584210509856</v>
      </c>
      <c r="AH341" s="11">
        <v>0.60870514460112157</v>
      </c>
      <c r="AI341" s="11">
        <v>0.36268917097081055</v>
      </c>
      <c r="AK341" s="11" t="str">
        <f t="shared" si="129"/>
        <v>IoU 100</v>
      </c>
      <c r="AL341" s="11" t="str">
        <f t="shared" si="119"/>
        <v>IoU 75</v>
      </c>
      <c r="AM341" s="11" t="str">
        <f t="shared" si="120"/>
        <v>IoU 50</v>
      </c>
    </row>
    <row r="342" spans="9:39" ht="15" x14ac:dyDescent="0.25">
      <c r="I342"/>
      <c r="J342"/>
      <c r="K342"/>
      <c r="Q342">
        <v>0.13588887410265235</v>
      </c>
      <c r="R342">
        <v>0</v>
      </c>
      <c r="S342">
        <v>8.3767020745704718E-2</v>
      </c>
      <c r="U342" s="11" t="str">
        <f t="shared" si="126"/>
        <v>IoU 25</v>
      </c>
      <c r="V342" s="11" t="str">
        <f t="shared" si="115"/>
        <v>IoU 25</v>
      </c>
      <c r="W342" s="11" t="str">
        <f t="shared" si="116"/>
        <v>IoU 25</v>
      </c>
    </row>
    <row r="343" spans="9:39" ht="15" x14ac:dyDescent="0.25">
      <c r="I343">
        <v>0.51303190897877982</v>
      </c>
      <c r="J343">
        <v>0.30199551052336743</v>
      </c>
      <c r="K343">
        <v>0</v>
      </c>
      <c r="M343" s="11" t="str">
        <f>VLOOKUP(I343,IoU_Thresholds,2,TRUE)</f>
        <v>IoU 75</v>
      </c>
      <c r="N343" s="11" t="str">
        <f t="shared" si="113"/>
        <v>IoU 50</v>
      </c>
      <c r="O343" s="11" t="str">
        <f t="shared" si="114"/>
        <v>IoU 25</v>
      </c>
      <c r="Q343">
        <v>0.48804354375507686</v>
      </c>
      <c r="R343">
        <v>0.22901288367715891</v>
      </c>
      <c r="S343">
        <v>0.47303801440122789</v>
      </c>
      <c r="U343" s="11" t="str">
        <f t="shared" si="126"/>
        <v>IoU 50</v>
      </c>
      <c r="V343" s="11" t="str">
        <f t="shared" si="115"/>
        <v>IoU 25</v>
      </c>
      <c r="W343" s="11" t="str">
        <f t="shared" si="116"/>
        <v>IoU 50</v>
      </c>
      <c r="Y343" s="11">
        <v>0.30060946680912159</v>
      </c>
      <c r="Z343" s="11">
        <v>0</v>
      </c>
      <c r="AA343" s="11">
        <v>0.28923904688700997</v>
      </c>
      <c r="AC343" s="11" t="str">
        <f t="shared" ref="AC343:AC348" si="130">VLOOKUP(Y343,IoU_Thresholds,2,TRUE)</f>
        <v>IoU 50</v>
      </c>
      <c r="AD343" s="11" t="str">
        <f t="shared" si="117"/>
        <v>IoU 25</v>
      </c>
      <c r="AE343" s="11" t="str">
        <f t="shared" si="118"/>
        <v>IoU 50</v>
      </c>
      <c r="AG343" s="11">
        <v>0.77946771117310254</v>
      </c>
      <c r="AH343" s="11">
        <v>0.29903618532296244</v>
      </c>
      <c r="AI343" s="11">
        <v>0.34182200052507222</v>
      </c>
      <c r="AK343" s="11" t="str">
        <f t="shared" ref="AK343:AK348" si="131">VLOOKUP(AG343,IoU_Thresholds,2,TRUE)</f>
        <v>IoU 100</v>
      </c>
      <c r="AL343" s="11" t="str">
        <f t="shared" si="119"/>
        <v>IoU 50</v>
      </c>
      <c r="AM343" s="11" t="str">
        <f t="shared" si="120"/>
        <v>IoU 50</v>
      </c>
    </row>
    <row r="344" spans="9:39" ht="15" x14ac:dyDescent="0.25">
      <c r="I344"/>
      <c r="J344"/>
      <c r="K344"/>
      <c r="Q344">
        <v>0.38748589776967801</v>
      </c>
      <c r="R344">
        <v>0.50202996870043681</v>
      </c>
      <c r="S344">
        <v>0.34574742743333453</v>
      </c>
      <c r="U344" s="11" t="str">
        <f t="shared" si="126"/>
        <v>IoU 50</v>
      </c>
      <c r="V344" s="11" t="str">
        <f t="shared" si="115"/>
        <v>IoU 75</v>
      </c>
      <c r="W344" s="11" t="str">
        <f t="shared" si="116"/>
        <v>IoU 50</v>
      </c>
      <c r="Y344" s="11">
        <v>0.42012704781009697</v>
      </c>
      <c r="Z344" s="11">
        <v>0.4404275485855576</v>
      </c>
      <c r="AA344" s="11">
        <v>0.60297442243978017</v>
      </c>
      <c r="AC344" s="11" t="str">
        <f t="shared" si="130"/>
        <v>IoU 50</v>
      </c>
      <c r="AD344" s="11" t="str">
        <f t="shared" si="117"/>
        <v>IoU 50</v>
      </c>
      <c r="AE344" s="11" t="str">
        <f t="shared" si="118"/>
        <v>IoU 75</v>
      </c>
      <c r="AG344" s="11">
        <v>0.42428405091774923</v>
      </c>
      <c r="AH344" s="11">
        <v>0.34364161849710984</v>
      </c>
      <c r="AI344" s="11">
        <v>0.20426040215010949</v>
      </c>
      <c r="AK344" s="11" t="str">
        <f t="shared" si="131"/>
        <v>IoU 50</v>
      </c>
      <c r="AL344" s="11" t="str">
        <f t="shared" si="119"/>
        <v>IoU 50</v>
      </c>
      <c r="AM344" s="11" t="str">
        <f t="shared" si="120"/>
        <v>IoU 25</v>
      </c>
    </row>
    <row r="345" spans="9:39" ht="15" x14ac:dyDescent="0.25">
      <c r="I345">
        <v>0.78018104154689016</v>
      </c>
      <c r="J345">
        <v>0.35569716670531959</v>
      </c>
      <c r="K345">
        <v>0.16555197513993633</v>
      </c>
      <c r="M345" s="11" t="str">
        <f>VLOOKUP(I345,IoU_Thresholds,2,TRUE)</f>
        <v>IoU 100</v>
      </c>
      <c r="N345" s="11" t="str">
        <f t="shared" si="113"/>
        <v>IoU 50</v>
      </c>
      <c r="O345" s="11" t="str">
        <f t="shared" si="114"/>
        <v>IoU 25</v>
      </c>
      <c r="Q345">
        <v>0.4211544567029129</v>
      </c>
      <c r="R345">
        <v>0.35855022299141315</v>
      </c>
      <c r="S345">
        <v>0.65218668222515541</v>
      </c>
      <c r="U345" s="11" t="str">
        <f t="shared" si="126"/>
        <v>IoU 50</v>
      </c>
      <c r="V345" s="11" t="str">
        <f t="shared" si="115"/>
        <v>IoU 50</v>
      </c>
      <c r="W345" s="11" t="str">
        <f t="shared" si="116"/>
        <v>IoU 75</v>
      </c>
      <c r="Y345" s="11">
        <v>0.26441739647517848</v>
      </c>
      <c r="Z345" s="11">
        <v>0.31579578637713129</v>
      </c>
      <c r="AA345" s="11">
        <v>0.30970149253731344</v>
      </c>
      <c r="AC345" s="11" t="str">
        <f t="shared" si="130"/>
        <v>IoU 50</v>
      </c>
      <c r="AD345" s="11" t="str">
        <f t="shared" si="117"/>
        <v>IoU 50</v>
      </c>
      <c r="AE345" s="11" t="str">
        <f t="shared" si="118"/>
        <v>IoU 50</v>
      </c>
      <c r="AG345" s="11">
        <v>0.75262368401293589</v>
      </c>
      <c r="AH345" s="11">
        <v>0.36253276313974342</v>
      </c>
      <c r="AI345" s="11">
        <v>0.25054945054945055</v>
      </c>
      <c r="AK345" s="11" t="str">
        <f t="shared" si="131"/>
        <v>IoU 100</v>
      </c>
      <c r="AL345" s="11" t="str">
        <f t="shared" si="119"/>
        <v>IoU 50</v>
      </c>
      <c r="AM345" s="11" t="str">
        <f t="shared" si="120"/>
        <v>IoU 50</v>
      </c>
    </row>
    <row r="346" spans="9:39" ht="15" x14ac:dyDescent="0.25">
      <c r="I346">
        <v>0.83286675704306545</v>
      </c>
      <c r="J346">
        <v>0.32536973833902161</v>
      </c>
      <c r="K346">
        <v>0.23700887198986059</v>
      </c>
      <c r="M346" s="11" t="str">
        <f>VLOOKUP(I346,IoU_Thresholds,2,TRUE)</f>
        <v>IoU 100</v>
      </c>
      <c r="N346" s="11" t="str">
        <f t="shared" si="113"/>
        <v>IoU 50</v>
      </c>
      <c r="O346" s="11" t="str">
        <f t="shared" si="114"/>
        <v>IoU 25</v>
      </c>
      <c r="Q346">
        <v>0.44187847839807221</v>
      </c>
      <c r="R346">
        <v>0.40743172268907563</v>
      </c>
      <c r="S346">
        <v>0.40653357531760437</v>
      </c>
      <c r="U346" s="11" t="str">
        <f t="shared" si="126"/>
        <v>IoU 50</v>
      </c>
      <c r="V346" s="11" t="str">
        <f t="shared" si="115"/>
        <v>IoU 50</v>
      </c>
      <c r="W346" s="11" t="str">
        <f t="shared" si="116"/>
        <v>IoU 50</v>
      </c>
      <c r="Y346" s="11">
        <v>0.68811243497031604</v>
      </c>
      <c r="Z346" s="11">
        <v>0.34597701149425286</v>
      </c>
      <c r="AA346" s="11">
        <v>0.36566164154103853</v>
      </c>
      <c r="AC346" s="11" t="str">
        <f t="shared" si="130"/>
        <v>IoU 75</v>
      </c>
      <c r="AD346" s="11" t="str">
        <f t="shared" si="117"/>
        <v>IoU 50</v>
      </c>
      <c r="AE346" s="11" t="str">
        <f t="shared" si="118"/>
        <v>IoU 50</v>
      </c>
      <c r="AG346" s="11">
        <v>0.83345250240327062</v>
      </c>
      <c r="AH346" s="11">
        <v>0.63436720645230904</v>
      </c>
      <c r="AI346" s="11">
        <v>0.31315792596320219</v>
      </c>
      <c r="AK346" s="11" t="str">
        <f t="shared" si="131"/>
        <v>IoU 100</v>
      </c>
      <c r="AL346" s="11" t="str">
        <f t="shared" si="119"/>
        <v>IoU 75</v>
      </c>
      <c r="AM346" s="11" t="str">
        <f t="shared" si="120"/>
        <v>IoU 50</v>
      </c>
    </row>
    <row r="347" spans="9:39" ht="15" x14ac:dyDescent="0.25">
      <c r="I347">
        <v>0.57060871378779066</v>
      </c>
      <c r="J347">
        <v>0.39398280802292263</v>
      </c>
      <c r="K347">
        <v>0.45462762463765088</v>
      </c>
      <c r="M347" s="11" t="str">
        <f>VLOOKUP(I347,IoU_Thresholds,2,TRUE)</f>
        <v>IoU 75</v>
      </c>
      <c r="N347" s="11" t="str">
        <f t="shared" ref="N347:N410" si="132">VLOOKUP(J347,IoU_Thresholds,2,TRUE)</f>
        <v>IoU 50</v>
      </c>
      <c r="O347" s="11" t="str">
        <f t="shared" ref="O347:O410" si="133">VLOOKUP(K347,IoU_Thresholds,2,TRUE)</f>
        <v>IoU 50</v>
      </c>
      <c r="Q347">
        <v>0.44338936566525872</v>
      </c>
      <c r="R347">
        <v>0.4182577562242909</v>
      </c>
      <c r="S347">
        <v>0.26947999285717011</v>
      </c>
      <c r="U347" s="11" t="str">
        <f t="shared" si="126"/>
        <v>IoU 50</v>
      </c>
      <c r="V347" s="11" t="str">
        <f t="shared" ref="V347:V410" si="134">VLOOKUP(R347,IoU_Thresholds,2,TRUE)</f>
        <v>IoU 50</v>
      </c>
      <c r="W347" s="11" t="str">
        <f t="shared" ref="W347:W410" si="135">VLOOKUP(S347,IoU_Thresholds,2,TRUE)</f>
        <v>IoU 50</v>
      </c>
      <c r="Y347" s="11">
        <v>0.42844349075174237</v>
      </c>
      <c r="Z347" s="11">
        <v>0.51761190425489312</v>
      </c>
      <c r="AA347" s="11">
        <v>0.34213098729227759</v>
      </c>
      <c r="AC347" s="11" t="str">
        <f t="shared" si="130"/>
        <v>IoU 50</v>
      </c>
      <c r="AD347" s="11" t="str">
        <f t="shared" ref="AD347:AD410" si="136">VLOOKUP(Z347,IoU_Thresholds,2,TRUE)</f>
        <v>IoU 75</v>
      </c>
      <c r="AE347" s="11" t="str">
        <f t="shared" ref="AE347:AE410" si="137">VLOOKUP(AA347,IoU_Thresholds,2,TRUE)</f>
        <v>IoU 50</v>
      </c>
      <c r="AG347" s="11">
        <v>0.41482177357888578</v>
      </c>
      <c r="AH347" s="11">
        <v>0.18430290872617855</v>
      </c>
      <c r="AI347" s="11">
        <v>0.27522960258353163</v>
      </c>
      <c r="AK347" s="11" t="str">
        <f t="shared" si="131"/>
        <v>IoU 50</v>
      </c>
      <c r="AL347" s="11" t="str">
        <f t="shared" ref="AL347:AL410" si="138">VLOOKUP(AH347,IoU_Thresholds,2,TRUE)</f>
        <v>IoU 25</v>
      </c>
      <c r="AM347" s="11" t="str">
        <f t="shared" ref="AM347:AM410" si="139">VLOOKUP(AI347,IoU_Thresholds,2,TRUE)</f>
        <v>IoU 50</v>
      </c>
    </row>
    <row r="348" spans="9:39" ht="15" x14ac:dyDescent="0.25">
      <c r="I348">
        <v>0.60910373265632822</v>
      </c>
      <c r="J348">
        <v>0.35767511177347244</v>
      </c>
      <c r="K348">
        <v>0.26355805353180572</v>
      </c>
      <c r="M348" s="11" t="str">
        <f>VLOOKUP(I348,IoU_Thresholds,2,TRUE)</f>
        <v>IoU 75</v>
      </c>
      <c r="N348" s="11" t="str">
        <f t="shared" si="132"/>
        <v>IoU 50</v>
      </c>
      <c r="O348" s="11" t="str">
        <f t="shared" si="133"/>
        <v>IoU 50</v>
      </c>
      <c r="Q348">
        <v>0.50181546602747007</v>
      </c>
      <c r="R348">
        <v>0.43274918762625891</v>
      </c>
      <c r="S348">
        <v>0.382353300717374</v>
      </c>
      <c r="U348" s="11" t="str">
        <f t="shared" si="126"/>
        <v>IoU 75</v>
      </c>
      <c r="V348" s="11" t="str">
        <f t="shared" si="134"/>
        <v>IoU 50</v>
      </c>
      <c r="W348" s="11" t="str">
        <f t="shared" si="135"/>
        <v>IoU 50</v>
      </c>
      <c r="Y348" s="11">
        <v>0.47908631658617606</v>
      </c>
      <c r="Z348" s="11">
        <v>0.37614775725593669</v>
      </c>
      <c r="AA348" s="11">
        <v>0.3840243649200526</v>
      </c>
      <c r="AC348" s="11" t="str">
        <f t="shared" si="130"/>
        <v>IoU 50</v>
      </c>
      <c r="AD348" s="11" t="str">
        <f t="shared" si="136"/>
        <v>IoU 50</v>
      </c>
      <c r="AE348" s="11" t="str">
        <f t="shared" si="137"/>
        <v>IoU 50</v>
      </c>
      <c r="AG348" s="11">
        <v>3.6492957186144093E-2</v>
      </c>
      <c r="AH348" s="11">
        <v>0</v>
      </c>
      <c r="AI348" s="11">
        <v>0.24904843378438507</v>
      </c>
      <c r="AK348" s="11" t="str">
        <f t="shared" si="131"/>
        <v>IoU 25</v>
      </c>
      <c r="AL348" s="11" t="str">
        <f t="shared" si="138"/>
        <v>IoU 25</v>
      </c>
      <c r="AM348" s="11" t="str">
        <f t="shared" si="139"/>
        <v>IoU 25</v>
      </c>
    </row>
    <row r="349" spans="9:39" ht="15" x14ac:dyDescent="0.25">
      <c r="I349"/>
      <c r="J349"/>
      <c r="K349"/>
      <c r="Q349">
        <v>0</v>
      </c>
      <c r="R349">
        <v>0.10755320971654771</v>
      </c>
      <c r="S349">
        <v>0</v>
      </c>
      <c r="U349" s="11" t="str">
        <f t="shared" si="126"/>
        <v>IoU 25</v>
      </c>
      <c r="V349" s="11" t="str">
        <f t="shared" si="134"/>
        <v>IoU 25</v>
      </c>
      <c r="W349" s="11" t="str">
        <f t="shared" si="135"/>
        <v>IoU 25</v>
      </c>
    </row>
    <row r="350" spans="9:39" ht="15" x14ac:dyDescent="0.25">
      <c r="I350">
        <v>0.85442765103119678</v>
      </c>
      <c r="J350">
        <v>0.34335890129695429</v>
      </c>
      <c r="K350">
        <v>0.28194958525149749</v>
      </c>
      <c r="M350" s="11" t="str">
        <f t="shared" ref="M350:M358" si="140">VLOOKUP(I350,IoU_Thresholds,2,TRUE)</f>
        <v>IoU 100</v>
      </c>
      <c r="N350" s="11" t="str">
        <f t="shared" si="132"/>
        <v>IoU 50</v>
      </c>
      <c r="O350" s="11" t="str">
        <f t="shared" si="133"/>
        <v>IoU 50</v>
      </c>
      <c r="Q350">
        <v>0.47594820082881839</v>
      </c>
      <c r="R350">
        <v>0.4406683439446708</v>
      </c>
      <c r="S350">
        <v>0.34825174825174826</v>
      </c>
      <c r="U350" s="11" t="str">
        <f t="shared" si="126"/>
        <v>IoU 50</v>
      </c>
      <c r="V350" s="11" t="str">
        <f t="shared" si="134"/>
        <v>IoU 50</v>
      </c>
      <c r="W350" s="11" t="str">
        <f t="shared" si="135"/>
        <v>IoU 50</v>
      </c>
      <c r="Y350" s="11">
        <v>0.7568302067169701</v>
      </c>
      <c r="Z350" s="11">
        <v>0.45617479396050281</v>
      </c>
      <c r="AA350" s="11">
        <v>0.32941190697592121</v>
      </c>
      <c r="AC350" s="11" t="str">
        <f t="shared" ref="AC350:AC378" si="141">VLOOKUP(Y350,IoU_Thresholds,2,TRUE)</f>
        <v>IoU 100</v>
      </c>
      <c r="AD350" s="11" t="str">
        <f t="shared" si="136"/>
        <v>IoU 50</v>
      </c>
      <c r="AE350" s="11" t="str">
        <f t="shared" si="137"/>
        <v>IoU 50</v>
      </c>
      <c r="AG350" s="11">
        <v>0.46414385476863074</v>
      </c>
      <c r="AH350" s="11">
        <v>0.82706816014294793</v>
      </c>
      <c r="AI350" s="11">
        <v>0.40995891129256606</v>
      </c>
      <c r="AK350" s="11" t="str">
        <f t="shared" ref="AK350:AK381" si="142">VLOOKUP(AG350,IoU_Thresholds,2,TRUE)</f>
        <v>IoU 50</v>
      </c>
      <c r="AL350" s="11" t="str">
        <f t="shared" si="138"/>
        <v>IoU 100</v>
      </c>
      <c r="AM350" s="11" t="str">
        <f t="shared" si="139"/>
        <v>IoU 50</v>
      </c>
    </row>
    <row r="351" spans="9:39" ht="15" x14ac:dyDescent="0.25">
      <c r="I351">
        <v>0.86001600247340448</v>
      </c>
      <c r="J351">
        <v>0.73565445170171728</v>
      </c>
      <c r="K351">
        <v>0.66177427110717257</v>
      </c>
      <c r="M351" s="11" t="str">
        <f t="shared" si="140"/>
        <v>IoU 100</v>
      </c>
      <c r="N351" s="11" t="str">
        <f t="shared" si="132"/>
        <v>IoU 75</v>
      </c>
      <c r="O351" s="11" t="str">
        <f t="shared" si="133"/>
        <v>IoU 75</v>
      </c>
      <c r="Q351">
        <v>0</v>
      </c>
      <c r="R351">
        <v>0.10143851553748282</v>
      </c>
      <c r="S351">
        <v>0.26104187590933786</v>
      </c>
      <c r="U351" s="11" t="str">
        <f t="shared" si="126"/>
        <v>IoU 25</v>
      </c>
      <c r="V351" s="11" t="str">
        <f t="shared" si="134"/>
        <v>IoU 25</v>
      </c>
      <c r="W351" s="11" t="str">
        <f t="shared" si="135"/>
        <v>IoU 50</v>
      </c>
      <c r="Y351" s="11">
        <v>0.47655382907880134</v>
      </c>
      <c r="Z351" s="11">
        <v>0.48721027201186584</v>
      </c>
      <c r="AA351" s="11">
        <v>0.25826446280991733</v>
      </c>
      <c r="AC351" s="11" t="str">
        <f t="shared" si="141"/>
        <v>IoU 50</v>
      </c>
      <c r="AD351" s="11" t="str">
        <f t="shared" si="136"/>
        <v>IoU 50</v>
      </c>
      <c r="AE351" s="11" t="str">
        <f t="shared" si="137"/>
        <v>IoU 50</v>
      </c>
      <c r="AG351" s="11">
        <v>0.45436704166151565</v>
      </c>
      <c r="AH351" s="11">
        <v>0.28442028985507245</v>
      </c>
      <c r="AI351" s="11">
        <v>0.38237885462555066</v>
      </c>
      <c r="AK351" s="11" t="str">
        <f t="shared" si="142"/>
        <v>IoU 50</v>
      </c>
      <c r="AL351" s="11" t="str">
        <f t="shared" si="138"/>
        <v>IoU 50</v>
      </c>
      <c r="AM351" s="11" t="str">
        <f t="shared" si="139"/>
        <v>IoU 50</v>
      </c>
    </row>
    <row r="352" spans="9:39" ht="15" x14ac:dyDescent="0.25">
      <c r="I352">
        <v>0.8549445368847628</v>
      </c>
      <c r="J352">
        <v>0.70976574026789052</v>
      </c>
      <c r="K352">
        <v>0.68910212781071323</v>
      </c>
      <c r="M352" s="11" t="str">
        <f t="shared" si="140"/>
        <v>IoU 100</v>
      </c>
      <c r="N352" s="11" t="str">
        <f t="shared" si="132"/>
        <v>IoU 75</v>
      </c>
      <c r="O352" s="11" t="str">
        <f t="shared" si="133"/>
        <v>IoU 75</v>
      </c>
      <c r="Q352">
        <v>0.46521067616076328</v>
      </c>
      <c r="R352">
        <v>0.66635654514695175</v>
      </c>
      <c r="S352">
        <v>0.41756845123460967</v>
      </c>
      <c r="U352" s="11" t="str">
        <f t="shared" ref="U352:U383" si="143">VLOOKUP(Q352,IoU_Thresholds,2,TRUE)</f>
        <v>IoU 50</v>
      </c>
      <c r="V352" s="11" t="str">
        <f t="shared" si="134"/>
        <v>IoU 75</v>
      </c>
      <c r="W352" s="11" t="str">
        <f t="shared" si="135"/>
        <v>IoU 50</v>
      </c>
      <c r="Y352" s="11">
        <v>0.69883401082127383</v>
      </c>
      <c r="Z352" s="11">
        <v>0.71779609625107477</v>
      </c>
      <c r="AA352" s="11">
        <v>0.19689637989479669</v>
      </c>
      <c r="AC352" s="11" t="str">
        <f t="shared" si="141"/>
        <v>IoU 75</v>
      </c>
      <c r="AD352" s="11" t="str">
        <f t="shared" si="136"/>
        <v>IoU 75</v>
      </c>
      <c r="AE352" s="11" t="str">
        <f t="shared" si="137"/>
        <v>IoU 25</v>
      </c>
      <c r="AG352" s="11">
        <v>0.42243931772161758</v>
      </c>
      <c r="AH352" s="11">
        <v>0.37746164218358014</v>
      </c>
      <c r="AI352" s="11">
        <v>0.27658508564790435</v>
      </c>
      <c r="AK352" s="11" t="str">
        <f t="shared" si="142"/>
        <v>IoU 50</v>
      </c>
      <c r="AL352" s="11" t="str">
        <f t="shared" si="138"/>
        <v>IoU 50</v>
      </c>
      <c r="AM352" s="11" t="str">
        <f t="shared" si="139"/>
        <v>IoU 50</v>
      </c>
    </row>
    <row r="353" spans="9:39" ht="15" x14ac:dyDescent="0.25">
      <c r="I353">
        <v>0.75390863785748563</v>
      </c>
      <c r="J353">
        <v>0.29548017929607012</v>
      </c>
      <c r="K353">
        <v>0.3211068493860959</v>
      </c>
      <c r="M353" s="11" t="str">
        <f t="shared" si="140"/>
        <v>IoU 100</v>
      </c>
      <c r="N353" s="11" t="str">
        <f t="shared" si="132"/>
        <v>IoU 50</v>
      </c>
      <c r="O353" s="11" t="str">
        <f t="shared" si="133"/>
        <v>IoU 50</v>
      </c>
      <c r="Q353">
        <v>0.38289331343081406</v>
      </c>
      <c r="R353">
        <v>0.3863250778106066</v>
      </c>
      <c r="S353">
        <v>0.29846767111994399</v>
      </c>
      <c r="U353" s="11" t="str">
        <f t="shared" si="143"/>
        <v>IoU 50</v>
      </c>
      <c r="V353" s="11" t="str">
        <f t="shared" si="134"/>
        <v>IoU 50</v>
      </c>
      <c r="W353" s="11" t="str">
        <f t="shared" si="135"/>
        <v>IoU 50</v>
      </c>
      <c r="Y353" s="11">
        <v>0.45203867500833511</v>
      </c>
      <c r="Z353" s="11">
        <v>0.33078136127785124</v>
      </c>
      <c r="AA353" s="11">
        <v>0.22323537129362372</v>
      </c>
      <c r="AC353" s="11" t="str">
        <f t="shared" si="141"/>
        <v>IoU 50</v>
      </c>
      <c r="AD353" s="11" t="str">
        <f t="shared" si="136"/>
        <v>IoU 50</v>
      </c>
      <c r="AE353" s="11" t="str">
        <f t="shared" si="137"/>
        <v>IoU 25</v>
      </c>
      <c r="AG353" s="11">
        <v>0.71876768980285255</v>
      </c>
      <c r="AH353" s="11">
        <v>0.13930013458950202</v>
      </c>
      <c r="AI353" s="11">
        <v>0.3427000610873549</v>
      </c>
      <c r="AK353" s="11" t="str">
        <f t="shared" si="142"/>
        <v>IoU 75</v>
      </c>
      <c r="AL353" s="11" t="str">
        <f t="shared" si="138"/>
        <v>IoU 25</v>
      </c>
      <c r="AM353" s="11" t="str">
        <f t="shared" si="139"/>
        <v>IoU 50</v>
      </c>
    </row>
    <row r="354" spans="9:39" ht="15" x14ac:dyDescent="0.25">
      <c r="I354">
        <v>0.43086566576562119</v>
      </c>
      <c r="J354">
        <v>0.39552974579497335</v>
      </c>
      <c r="K354">
        <v>0.38679627091716096</v>
      </c>
      <c r="M354" s="11" t="str">
        <f t="shared" si="140"/>
        <v>IoU 50</v>
      </c>
      <c r="N354" s="11" t="str">
        <f t="shared" si="132"/>
        <v>IoU 50</v>
      </c>
      <c r="O354" s="11" t="str">
        <f t="shared" si="133"/>
        <v>IoU 50</v>
      </c>
      <c r="Q354">
        <v>0.40825421831599024</v>
      </c>
      <c r="R354">
        <v>0.37861468205720411</v>
      </c>
      <c r="S354">
        <v>0.73293756421411582</v>
      </c>
      <c r="U354" s="11" t="str">
        <f t="shared" si="143"/>
        <v>IoU 50</v>
      </c>
      <c r="V354" s="11" t="str">
        <f t="shared" si="134"/>
        <v>IoU 50</v>
      </c>
      <c r="W354" s="11" t="str">
        <f t="shared" si="135"/>
        <v>IoU 75</v>
      </c>
      <c r="Y354" s="11">
        <v>0.4023740928360352</v>
      </c>
      <c r="Z354" s="11">
        <v>0</v>
      </c>
      <c r="AA354" s="11">
        <v>0.37253133056679477</v>
      </c>
      <c r="AC354" s="11" t="str">
        <f t="shared" si="141"/>
        <v>IoU 50</v>
      </c>
      <c r="AD354" s="11" t="str">
        <f t="shared" si="136"/>
        <v>IoU 25</v>
      </c>
      <c r="AE354" s="11" t="str">
        <f t="shared" si="137"/>
        <v>IoU 50</v>
      </c>
      <c r="AG354" s="11">
        <v>4.7996893383174297E-2</v>
      </c>
      <c r="AH354" s="11">
        <v>0</v>
      </c>
      <c r="AI354" s="11">
        <v>2.7511426854641582E-2</v>
      </c>
      <c r="AK354" s="11" t="str">
        <f t="shared" si="142"/>
        <v>IoU 25</v>
      </c>
      <c r="AL354" s="11" t="str">
        <f t="shared" si="138"/>
        <v>IoU 25</v>
      </c>
      <c r="AM354" s="11" t="str">
        <f t="shared" si="139"/>
        <v>IoU 25</v>
      </c>
    </row>
    <row r="355" spans="9:39" ht="15" x14ac:dyDescent="0.25">
      <c r="I355">
        <v>0.41181260177877993</v>
      </c>
      <c r="J355">
        <v>0.41919203490066786</v>
      </c>
      <c r="K355">
        <v>0.5370104036671407</v>
      </c>
      <c r="M355" s="11" t="str">
        <f t="shared" si="140"/>
        <v>IoU 50</v>
      </c>
      <c r="N355" s="11" t="str">
        <f t="shared" si="132"/>
        <v>IoU 50</v>
      </c>
      <c r="O355" s="11" t="str">
        <f t="shared" si="133"/>
        <v>IoU 75</v>
      </c>
      <c r="Q355">
        <v>0.36410715127375348</v>
      </c>
      <c r="R355">
        <v>0.6969950063919792</v>
      </c>
      <c r="S355">
        <v>0.45980911742908803</v>
      </c>
      <c r="U355" s="11" t="str">
        <f t="shared" si="143"/>
        <v>IoU 50</v>
      </c>
      <c r="V355" s="11" t="str">
        <f t="shared" si="134"/>
        <v>IoU 75</v>
      </c>
      <c r="W355" s="11" t="str">
        <f t="shared" si="135"/>
        <v>IoU 50</v>
      </c>
      <c r="Y355" s="11">
        <v>0.15462657452786557</v>
      </c>
      <c r="Z355" s="11">
        <v>0.22629854936827329</v>
      </c>
      <c r="AA355" s="11">
        <v>0</v>
      </c>
      <c r="AC355" s="11" t="str">
        <f t="shared" si="141"/>
        <v>IoU 25</v>
      </c>
      <c r="AD355" s="11" t="str">
        <f t="shared" si="136"/>
        <v>IoU 25</v>
      </c>
      <c r="AE355" s="11" t="str">
        <f t="shared" si="137"/>
        <v>IoU 25</v>
      </c>
      <c r="AG355" s="11">
        <v>0.7725551330285696</v>
      </c>
      <c r="AH355" s="11">
        <v>0.58000472151004923</v>
      </c>
      <c r="AI355" s="11">
        <v>0.28698423347869845</v>
      </c>
      <c r="AK355" s="11" t="str">
        <f t="shared" si="142"/>
        <v>IoU 100</v>
      </c>
      <c r="AL355" s="11" t="str">
        <f t="shared" si="138"/>
        <v>IoU 75</v>
      </c>
      <c r="AM355" s="11" t="str">
        <f t="shared" si="139"/>
        <v>IoU 50</v>
      </c>
    </row>
    <row r="356" spans="9:39" ht="15" x14ac:dyDescent="0.25">
      <c r="I356">
        <v>0.42960282636969344</v>
      </c>
      <c r="J356">
        <v>0.38620955137457952</v>
      </c>
      <c r="K356">
        <v>0.27523166844642816</v>
      </c>
      <c r="M356" s="11" t="str">
        <f t="shared" si="140"/>
        <v>IoU 50</v>
      </c>
      <c r="N356" s="11" t="str">
        <f t="shared" si="132"/>
        <v>IoU 50</v>
      </c>
      <c r="O356" s="11" t="str">
        <f t="shared" si="133"/>
        <v>IoU 50</v>
      </c>
      <c r="Q356">
        <v>0.42460878405837443</v>
      </c>
      <c r="R356">
        <v>0.290777484307495</v>
      </c>
      <c r="S356">
        <v>0.34159963066483306</v>
      </c>
      <c r="U356" s="11" t="str">
        <f t="shared" si="143"/>
        <v>IoU 50</v>
      </c>
      <c r="V356" s="11" t="str">
        <f t="shared" si="134"/>
        <v>IoU 50</v>
      </c>
      <c r="W356" s="11" t="str">
        <f t="shared" si="135"/>
        <v>IoU 50</v>
      </c>
      <c r="Y356" s="11">
        <v>0.73667885511615006</v>
      </c>
      <c r="Z356" s="11">
        <v>0</v>
      </c>
      <c r="AA356" s="11">
        <v>0</v>
      </c>
      <c r="AC356" s="11" t="str">
        <f t="shared" si="141"/>
        <v>IoU 75</v>
      </c>
      <c r="AD356" s="11" t="str">
        <f t="shared" si="136"/>
        <v>IoU 25</v>
      </c>
      <c r="AE356" s="11" t="str">
        <f t="shared" si="137"/>
        <v>IoU 25</v>
      </c>
      <c r="AG356" s="11">
        <v>0.81516474691217633</v>
      </c>
      <c r="AH356" s="11">
        <v>0.44939341551972189</v>
      </c>
      <c r="AI356" s="11">
        <v>0.33262630158118012</v>
      </c>
      <c r="AK356" s="11" t="str">
        <f t="shared" si="142"/>
        <v>IoU 100</v>
      </c>
      <c r="AL356" s="11" t="str">
        <f t="shared" si="138"/>
        <v>IoU 50</v>
      </c>
      <c r="AM356" s="11" t="str">
        <f t="shared" si="139"/>
        <v>IoU 50</v>
      </c>
    </row>
    <row r="357" spans="9:39" ht="15" x14ac:dyDescent="0.25">
      <c r="I357">
        <v>0.13842135451064694</v>
      </c>
      <c r="J357">
        <v>9.8590913322822146E-2</v>
      </c>
      <c r="K357">
        <v>0.13218471967236267</v>
      </c>
      <c r="M357" s="11" t="str">
        <f t="shared" si="140"/>
        <v>IoU 25</v>
      </c>
      <c r="N357" s="11" t="str">
        <f t="shared" si="132"/>
        <v>IoU 25</v>
      </c>
      <c r="O357" s="11" t="str">
        <f t="shared" si="133"/>
        <v>IoU 25</v>
      </c>
      <c r="Q357">
        <v>0.48850429598336043</v>
      </c>
      <c r="R357">
        <v>0.45700168048032302</v>
      </c>
      <c r="S357">
        <v>0.2322929070194549</v>
      </c>
      <c r="U357" s="11" t="str">
        <f t="shared" si="143"/>
        <v>IoU 50</v>
      </c>
      <c r="V357" s="11" t="str">
        <f t="shared" si="134"/>
        <v>IoU 50</v>
      </c>
      <c r="W357" s="11" t="str">
        <f t="shared" si="135"/>
        <v>IoU 25</v>
      </c>
      <c r="Y357" s="11">
        <v>0</v>
      </c>
      <c r="Z357" s="11">
        <v>0</v>
      </c>
      <c r="AA357" s="11">
        <v>6.1433150536803892E-2</v>
      </c>
      <c r="AC357" s="11" t="str">
        <f t="shared" si="141"/>
        <v>IoU 25</v>
      </c>
      <c r="AD357" s="11" t="str">
        <f t="shared" si="136"/>
        <v>IoU 25</v>
      </c>
      <c r="AE357" s="11" t="str">
        <f t="shared" si="137"/>
        <v>IoU 25</v>
      </c>
      <c r="AG357" s="11">
        <v>0.44247223298463129</v>
      </c>
      <c r="AH357" s="11">
        <v>0.46064015531538804</v>
      </c>
      <c r="AI357" s="11">
        <v>0.33267619517003449</v>
      </c>
      <c r="AK357" s="11" t="str">
        <f t="shared" si="142"/>
        <v>IoU 50</v>
      </c>
      <c r="AL357" s="11" t="str">
        <f t="shared" si="138"/>
        <v>IoU 50</v>
      </c>
      <c r="AM357" s="11" t="str">
        <f t="shared" si="139"/>
        <v>IoU 50</v>
      </c>
    </row>
    <row r="358" spans="9:39" ht="15" x14ac:dyDescent="0.25">
      <c r="I358">
        <v>0.79936819896230582</v>
      </c>
      <c r="J358">
        <v>0.38030361355626474</v>
      </c>
      <c r="K358">
        <v>0.2864833345712568</v>
      </c>
      <c r="M358" s="11" t="str">
        <f t="shared" si="140"/>
        <v>IoU 100</v>
      </c>
      <c r="N358" s="11" t="str">
        <f t="shared" si="132"/>
        <v>IoU 50</v>
      </c>
      <c r="O358" s="11" t="str">
        <f t="shared" si="133"/>
        <v>IoU 50</v>
      </c>
      <c r="Q358">
        <v>0.42797884651728074</v>
      </c>
      <c r="R358">
        <v>0.4004485619085581</v>
      </c>
      <c r="S358">
        <v>0.36280980536948343</v>
      </c>
      <c r="U358" s="11" t="str">
        <f t="shared" si="143"/>
        <v>IoU 50</v>
      </c>
      <c r="V358" s="11" t="str">
        <f t="shared" si="134"/>
        <v>IoU 50</v>
      </c>
      <c r="W358" s="11" t="str">
        <f t="shared" si="135"/>
        <v>IoU 50</v>
      </c>
      <c r="Y358" s="11">
        <v>0.61459220099787037</v>
      </c>
      <c r="Z358" s="11">
        <v>0.43271875764884626</v>
      </c>
      <c r="AA358" s="11">
        <v>0.45929554355787894</v>
      </c>
      <c r="AC358" s="11" t="str">
        <f t="shared" si="141"/>
        <v>IoU 75</v>
      </c>
      <c r="AD358" s="11" t="str">
        <f t="shared" si="136"/>
        <v>IoU 50</v>
      </c>
      <c r="AE358" s="11" t="str">
        <f t="shared" si="137"/>
        <v>IoU 50</v>
      </c>
      <c r="AG358" s="11">
        <v>0.88989693086869481</v>
      </c>
      <c r="AH358" s="11">
        <v>0.69844665333355405</v>
      </c>
      <c r="AI358" s="11">
        <v>0.42528735632183912</v>
      </c>
      <c r="AK358" s="11" t="str">
        <f t="shared" si="142"/>
        <v>IoU 100</v>
      </c>
      <c r="AL358" s="11" t="str">
        <f t="shared" si="138"/>
        <v>IoU 75</v>
      </c>
      <c r="AM358" s="11" t="str">
        <f t="shared" si="139"/>
        <v>IoU 50</v>
      </c>
    </row>
    <row r="359" spans="9:39" ht="15" x14ac:dyDescent="0.25">
      <c r="I359"/>
      <c r="J359"/>
      <c r="K359"/>
      <c r="Q359">
        <v>0.45786792541010424</v>
      </c>
      <c r="R359">
        <v>0.70896035347052411</v>
      </c>
      <c r="S359">
        <v>0.30701133144475923</v>
      </c>
      <c r="U359" s="11" t="str">
        <f t="shared" si="143"/>
        <v>IoU 50</v>
      </c>
      <c r="V359" s="11" t="str">
        <f t="shared" si="134"/>
        <v>IoU 75</v>
      </c>
      <c r="W359" s="11" t="str">
        <f t="shared" si="135"/>
        <v>IoU 50</v>
      </c>
      <c r="Y359" s="11">
        <v>0.52537431916359134</v>
      </c>
      <c r="Z359" s="11">
        <v>0.36825842696629213</v>
      </c>
      <c r="AA359" s="11">
        <v>0.38649764150943394</v>
      </c>
      <c r="AC359" s="11" t="str">
        <f t="shared" si="141"/>
        <v>IoU 75</v>
      </c>
      <c r="AD359" s="11" t="str">
        <f t="shared" si="136"/>
        <v>IoU 50</v>
      </c>
      <c r="AE359" s="11" t="str">
        <f t="shared" si="137"/>
        <v>IoU 50</v>
      </c>
      <c r="AG359" s="11">
        <v>0.45535034931175211</v>
      </c>
      <c r="AH359" s="11">
        <v>0.45091498761608362</v>
      </c>
      <c r="AI359" s="11">
        <v>0.29465620328849029</v>
      </c>
      <c r="AK359" s="11" t="str">
        <f t="shared" si="142"/>
        <v>IoU 50</v>
      </c>
      <c r="AL359" s="11" t="str">
        <f t="shared" si="138"/>
        <v>IoU 50</v>
      </c>
      <c r="AM359" s="11" t="str">
        <f t="shared" si="139"/>
        <v>IoU 50</v>
      </c>
    </row>
    <row r="360" spans="9:39" ht="15" x14ac:dyDescent="0.25">
      <c r="I360">
        <v>0.85501014652810881</v>
      </c>
      <c r="J360">
        <v>0.36534296028880864</v>
      </c>
      <c r="K360">
        <v>0.24551673137363653</v>
      </c>
      <c r="M360" s="11" t="str">
        <f t="shared" ref="M360:M390" si="144">VLOOKUP(I360,IoU_Thresholds,2,TRUE)</f>
        <v>IoU 100</v>
      </c>
      <c r="N360" s="11" t="str">
        <f t="shared" si="132"/>
        <v>IoU 50</v>
      </c>
      <c r="O360" s="11" t="str">
        <f t="shared" si="133"/>
        <v>IoU 25</v>
      </c>
      <c r="Q360">
        <v>0</v>
      </c>
      <c r="R360">
        <v>0.11559903117133555</v>
      </c>
      <c r="S360">
        <v>0</v>
      </c>
      <c r="U360" s="11" t="str">
        <f t="shared" si="143"/>
        <v>IoU 25</v>
      </c>
      <c r="V360" s="11" t="str">
        <f t="shared" si="134"/>
        <v>IoU 25</v>
      </c>
      <c r="W360" s="11" t="str">
        <f t="shared" si="135"/>
        <v>IoU 25</v>
      </c>
      <c r="Y360" s="11">
        <v>0.4132290899958026</v>
      </c>
      <c r="Z360" s="11">
        <v>0.48444908397966713</v>
      </c>
      <c r="AA360" s="11">
        <v>0.58349822630705572</v>
      </c>
      <c r="AC360" s="11" t="str">
        <f t="shared" si="141"/>
        <v>IoU 50</v>
      </c>
      <c r="AD360" s="11" t="str">
        <f t="shared" si="136"/>
        <v>IoU 50</v>
      </c>
      <c r="AE360" s="11" t="str">
        <f t="shared" si="137"/>
        <v>IoU 75</v>
      </c>
      <c r="AG360" s="11">
        <v>0.80971067565184085</v>
      </c>
      <c r="AH360" s="11">
        <v>0.41704896137026626</v>
      </c>
      <c r="AI360" s="11">
        <v>0.41101866338208815</v>
      </c>
      <c r="AK360" s="11" t="str">
        <f t="shared" si="142"/>
        <v>IoU 100</v>
      </c>
      <c r="AL360" s="11" t="str">
        <f t="shared" si="138"/>
        <v>IoU 50</v>
      </c>
      <c r="AM360" s="11" t="str">
        <f t="shared" si="139"/>
        <v>IoU 50</v>
      </c>
    </row>
    <row r="361" spans="9:39" ht="15" x14ac:dyDescent="0.25">
      <c r="I361">
        <v>0.41631105434114657</v>
      </c>
      <c r="J361">
        <v>0.21520794688924264</v>
      </c>
      <c r="K361">
        <v>5.6881746571960129E-2</v>
      </c>
      <c r="M361" s="11" t="str">
        <f t="shared" si="144"/>
        <v>IoU 50</v>
      </c>
      <c r="N361" s="11" t="str">
        <f t="shared" si="132"/>
        <v>IoU 25</v>
      </c>
      <c r="O361" s="11" t="str">
        <f t="shared" si="133"/>
        <v>IoU 25</v>
      </c>
      <c r="Q361">
        <v>0.40547126369762676</v>
      </c>
      <c r="R361">
        <v>0.33347148461287107</v>
      </c>
      <c r="S361">
        <v>0.28334629479208862</v>
      </c>
      <c r="U361" s="11" t="str">
        <f t="shared" si="143"/>
        <v>IoU 50</v>
      </c>
      <c r="V361" s="11" t="str">
        <f t="shared" si="134"/>
        <v>IoU 50</v>
      </c>
      <c r="W361" s="11" t="str">
        <f t="shared" si="135"/>
        <v>IoU 50</v>
      </c>
      <c r="Y361" s="11">
        <v>0.44080491979581637</v>
      </c>
      <c r="Z361" s="11">
        <v>0.60441644478448542</v>
      </c>
      <c r="AA361" s="11">
        <v>0.31063590320765333</v>
      </c>
      <c r="AC361" s="11" t="str">
        <f t="shared" si="141"/>
        <v>IoU 50</v>
      </c>
      <c r="AD361" s="11" t="str">
        <f t="shared" si="136"/>
        <v>IoU 75</v>
      </c>
      <c r="AE361" s="11" t="str">
        <f t="shared" si="137"/>
        <v>IoU 50</v>
      </c>
      <c r="AG361" s="11">
        <v>0.43362347402419665</v>
      </c>
      <c r="AH361" s="11">
        <v>0.40124369472756871</v>
      </c>
      <c r="AI361" s="11">
        <v>0.18573113207547171</v>
      </c>
      <c r="AK361" s="11" t="str">
        <f t="shared" si="142"/>
        <v>IoU 50</v>
      </c>
      <c r="AL361" s="11" t="str">
        <f t="shared" si="138"/>
        <v>IoU 50</v>
      </c>
      <c r="AM361" s="11" t="str">
        <f t="shared" si="139"/>
        <v>IoU 25</v>
      </c>
    </row>
    <row r="362" spans="9:39" ht="15" x14ac:dyDescent="0.25">
      <c r="I362">
        <v>0.88196327040729083</v>
      </c>
      <c r="J362">
        <v>0.25165380374862184</v>
      </c>
      <c r="K362">
        <v>0.29317931793179319</v>
      </c>
      <c r="M362" s="11" t="str">
        <f t="shared" si="144"/>
        <v>IoU 100</v>
      </c>
      <c r="N362" s="11" t="str">
        <f t="shared" si="132"/>
        <v>IoU 50</v>
      </c>
      <c r="O362" s="11" t="str">
        <f t="shared" si="133"/>
        <v>IoU 50</v>
      </c>
      <c r="Q362">
        <v>0.4554402915464692</v>
      </c>
      <c r="R362">
        <v>0.57248391028260692</v>
      </c>
      <c r="S362">
        <v>0.35454495055923135</v>
      </c>
      <c r="U362" s="11" t="str">
        <f t="shared" si="143"/>
        <v>IoU 50</v>
      </c>
      <c r="V362" s="11" t="str">
        <f t="shared" si="134"/>
        <v>IoU 75</v>
      </c>
      <c r="W362" s="11" t="str">
        <f t="shared" si="135"/>
        <v>IoU 50</v>
      </c>
      <c r="Y362" s="11">
        <v>0</v>
      </c>
      <c r="Z362" s="11">
        <v>0.31375000293594651</v>
      </c>
      <c r="AA362" s="11">
        <v>0.42000750748235027</v>
      </c>
      <c r="AC362" s="11" t="str">
        <f t="shared" si="141"/>
        <v>IoU 25</v>
      </c>
      <c r="AD362" s="11" t="str">
        <f t="shared" si="136"/>
        <v>IoU 50</v>
      </c>
      <c r="AE362" s="11" t="str">
        <f t="shared" si="137"/>
        <v>IoU 50</v>
      </c>
      <c r="AG362" s="11">
        <v>0.74073317088332191</v>
      </c>
      <c r="AH362" s="11">
        <v>0.45188542974334966</v>
      </c>
      <c r="AI362" s="11">
        <v>0.28848647943483274</v>
      </c>
      <c r="AK362" s="11" t="str">
        <f t="shared" si="142"/>
        <v>IoU 75</v>
      </c>
      <c r="AL362" s="11" t="str">
        <f t="shared" si="138"/>
        <v>IoU 50</v>
      </c>
      <c r="AM362" s="11" t="str">
        <f t="shared" si="139"/>
        <v>IoU 50</v>
      </c>
    </row>
    <row r="363" spans="9:39" ht="15" x14ac:dyDescent="0.25">
      <c r="I363">
        <v>0.86035948008203844</v>
      </c>
      <c r="J363">
        <v>0.3695107574417919</v>
      </c>
      <c r="K363">
        <v>0.32818303372455804</v>
      </c>
      <c r="M363" s="11" t="str">
        <f t="shared" si="144"/>
        <v>IoU 100</v>
      </c>
      <c r="N363" s="11" t="str">
        <f t="shared" si="132"/>
        <v>IoU 50</v>
      </c>
      <c r="O363" s="11" t="str">
        <f t="shared" si="133"/>
        <v>IoU 50</v>
      </c>
      <c r="Q363">
        <v>0.28582426875381073</v>
      </c>
      <c r="R363">
        <v>0.16155160023889387</v>
      </c>
      <c r="S363">
        <v>0</v>
      </c>
      <c r="U363" s="11" t="str">
        <f t="shared" si="143"/>
        <v>IoU 50</v>
      </c>
      <c r="V363" s="11" t="str">
        <f t="shared" si="134"/>
        <v>IoU 25</v>
      </c>
      <c r="W363" s="11" t="str">
        <f t="shared" si="135"/>
        <v>IoU 25</v>
      </c>
      <c r="Y363" s="11">
        <v>9.1932547666954106E-2</v>
      </c>
      <c r="Z363" s="11">
        <v>0</v>
      </c>
      <c r="AA363" s="11">
        <v>8.3783269961977186E-2</v>
      </c>
      <c r="AC363" s="11" t="str">
        <f t="shared" si="141"/>
        <v>IoU 25</v>
      </c>
      <c r="AD363" s="11" t="str">
        <f t="shared" si="136"/>
        <v>IoU 25</v>
      </c>
      <c r="AE363" s="11" t="str">
        <f t="shared" si="137"/>
        <v>IoU 25</v>
      </c>
      <c r="AG363" s="11">
        <v>0.41860242734116671</v>
      </c>
      <c r="AH363" s="11">
        <v>0.20195256756657518</v>
      </c>
      <c r="AI363" s="11">
        <v>0.36532921810699587</v>
      </c>
      <c r="AK363" s="11" t="str">
        <f t="shared" si="142"/>
        <v>IoU 50</v>
      </c>
      <c r="AL363" s="11" t="str">
        <f t="shared" si="138"/>
        <v>IoU 25</v>
      </c>
      <c r="AM363" s="11" t="str">
        <f t="shared" si="139"/>
        <v>IoU 50</v>
      </c>
    </row>
    <row r="364" spans="9:39" ht="15" x14ac:dyDescent="0.25">
      <c r="I364">
        <v>0.9042211871346888</v>
      </c>
      <c r="J364">
        <v>0.31961849839192635</v>
      </c>
      <c r="K364">
        <v>0.33103235112301671</v>
      </c>
      <c r="M364" s="11" t="str">
        <f t="shared" si="144"/>
        <v>IoU 100</v>
      </c>
      <c r="N364" s="11" t="str">
        <f t="shared" si="132"/>
        <v>IoU 50</v>
      </c>
      <c r="O364" s="11" t="str">
        <f t="shared" si="133"/>
        <v>IoU 50</v>
      </c>
      <c r="Q364">
        <v>0.44883085152123192</v>
      </c>
      <c r="R364">
        <v>0.4918166970659279</v>
      </c>
      <c r="S364">
        <v>0.3904148679907094</v>
      </c>
      <c r="U364" s="11" t="str">
        <f t="shared" si="143"/>
        <v>IoU 50</v>
      </c>
      <c r="V364" s="11" t="str">
        <f t="shared" si="134"/>
        <v>IoU 50</v>
      </c>
      <c r="W364" s="11" t="str">
        <f t="shared" si="135"/>
        <v>IoU 50</v>
      </c>
      <c r="Y364" s="11">
        <v>0.45873901737556511</v>
      </c>
      <c r="Z364" s="11">
        <v>0.38331114456665499</v>
      </c>
      <c r="AA364" s="11">
        <v>0.19281209479578629</v>
      </c>
      <c r="AC364" s="11" t="str">
        <f t="shared" si="141"/>
        <v>IoU 50</v>
      </c>
      <c r="AD364" s="11" t="str">
        <f t="shared" si="136"/>
        <v>IoU 50</v>
      </c>
      <c r="AE364" s="11" t="str">
        <f t="shared" si="137"/>
        <v>IoU 25</v>
      </c>
      <c r="AG364" s="11">
        <v>0.90895602646709706</v>
      </c>
      <c r="AH364" s="11">
        <v>0.48039405195618889</v>
      </c>
      <c r="AI364" s="11">
        <v>0.26093055880289923</v>
      </c>
      <c r="AK364" s="11" t="str">
        <f t="shared" si="142"/>
        <v>IoU 100</v>
      </c>
      <c r="AL364" s="11" t="str">
        <f t="shared" si="138"/>
        <v>IoU 50</v>
      </c>
      <c r="AM364" s="11" t="str">
        <f t="shared" si="139"/>
        <v>IoU 50</v>
      </c>
    </row>
    <row r="365" spans="9:39" ht="15" x14ac:dyDescent="0.25">
      <c r="I365">
        <v>0.80456683189818423</v>
      </c>
      <c r="J365">
        <v>0.25358851674641147</v>
      </c>
      <c r="K365">
        <v>0.32631578947368423</v>
      </c>
      <c r="M365" s="11" t="str">
        <f t="shared" si="144"/>
        <v>IoU 100</v>
      </c>
      <c r="N365" s="11" t="str">
        <f t="shared" si="132"/>
        <v>IoU 50</v>
      </c>
      <c r="O365" s="11" t="str">
        <f t="shared" si="133"/>
        <v>IoU 50</v>
      </c>
      <c r="Q365">
        <v>0.51891004136639074</v>
      </c>
      <c r="R365">
        <v>0.35613903518888651</v>
      </c>
      <c r="S365">
        <v>0</v>
      </c>
      <c r="U365" s="11" t="str">
        <f t="shared" si="143"/>
        <v>IoU 75</v>
      </c>
      <c r="V365" s="11" t="str">
        <f t="shared" si="134"/>
        <v>IoU 50</v>
      </c>
      <c r="W365" s="11" t="str">
        <f t="shared" si="135"/>
        <v>IoU 25</v>
      </c>
      <c r="Y365" s="11">
        <v>0.4136204418897072</v>
      </c>
      <c r="Z365" s="11">
        <v>0.21835607875820398</v>
      </c>
      <c r="AA365" s="11">
        <v>0.30681818181818182</v>
      </c>
      <c r="AC365" s="11" t="str">
        <f t="shared" si="141"/>
        <v>IoU 50</v>
      </c>
      <c r="AD365" s="11" t="str">
        <f t="shared" si="136"/>
        <v>IoU 25</v>
      </c>
      <c r="AE365" s="11" t="str">
        <f t="shared" si="137"/>
        <v>IoU 50</v>
      </c>
      <c r="AG365" s="11">
        <v>0.86790107707113406</v>
      </c>
      <c r="AH365" s="11">
        <v>0.35250822407925686</v>
      </c>
      <c r="AI365" s="11">
        <v>0.42132639791937582</v>
      </c>
      <c r="AK365" s="11" t="str">
        <f t="shared" si="142"/>
        <v>IoU 100</v>
      </c>
      <c r="AL365" s="11" t="str">
        <f t="shared" si="138"/>
        <v>IoU 50</v>
      </c>
      <c r="AM365" s="11" t="str">
        <f t="shared" si="139"/>
        <v>IoU 50</v>
      </c>
    </row>
    <row r="366" spans="9:39" ht="15" x14ac:dyDescent="0.25">
      <c r="I366">
        <v>0.45862222415004822</v>
      </c>
      <c r="J366">
        <v>0.41417602587109337</v>
      </c>
      <c r="K366">
        <v>0.5300270403377827</v>
      </c>
      <c r="M366" s="11" t="str">
        <f t="shared" si="144"/>
        <v>IoU 50</v>
      </c>
      <c r="N366" s="11" t="str">
        <f t="shared" si="132"/>
        <v>IoU 50</v>
      </c>
      <c r="O366" s="11" t="str">
        <f t="shared" si="133"/>
        <v>IoU 75</v>
      </c>
      <c r="Q366">
        <v>0.29633567929589388</v>
      </c>
      <c r="R366">
        <v>0.13054134328508765</v>
      </c>
      <c r="S366">
        <v>0</v>
      </c>
      <c r="U366" s="11" t="str">
        <f t="shared" si="143"/>
        <v>IoU 50</v>
      </c>
      <c r="V366" s="11" t="str">
        <f t="shared" si="134"/>
        <v>IoU 25</v>
      </c>
      <c r="W366" s="11" t="str">
        <f t="shared" si="135"/>
        <v>IoU 25</v>
      </c>
      <c r="Y366" s="11">
        <v>0</v>
      </c>
      <c r="Z366" s="11">
        <v>0</v>
      </c>
      <c r="AA366" s="11">
        <v>0.3528508760048184</v>
      </c>
      <c r="AC366" s="11" t="str">
        <f t="shared" si="141"/>
        <v>IoU 25</v>
      </c>
      <c r="AD366" s="11" t="str">
        <f t="shared" si="136"/>
        <v>IoU 25</v>
      </c>
      <c r="AE366" s="11" t="str">
        <f t="shared" si="137"/>
        <v>IoU 50</v>
      </c>
      <c r="AG366" s="11">
        <v>0.42370295015259413</v>
      </c>
      <c r="AH366" s="11">
        <v>0.38135884054682623</v>
      </c>
      <c r="AI366" s="11">
        <v>0.7789009252902146</v>
      </c>
      <c r="AK366" s="11" t="str">
        <f t="shared" si="142"/>
        <v>IoU 50</v>
      </c>
      <c r="AL366" s="11" t="str">
        <f t="shared" si="138"/>
        <v>IoU 50</v>
      </c>
      <c r="AM366" s="11" t="str">
        <f t="shared" si="139"/>
        <v>IoU 100</v>
      </c>
    </row>
    <row r="367" spans="9:39" ht="15" x14ac:dyDescent="0.25">
      <c r="I367">
        <v>0.42854055240485045</v>
      </c>
      <c r="J367">
        <v>0.56163606111482767</v>
      </c>
      <c r="K367">
        <v>0.50126112617028751</v>
      </c>
      <c r="M367" s="11" t="str">
        <f t="shared" si="144"/>
        <v>IoU 50</v>
      </c>
      <c r="N367" s="11" t="str">
        <f t="shared" si="132"/>
        <v>IoU 75</v>
      </c>
      <c r="O367" s="11" t="str">
        <f t="shared" si="133"/>
        <v>IoU 75</v>
      </c>
      <c r="Q367">
        <v>0.56370547002590221</v>
      </c>
      <c r="R367">
        <v>0.37230112601305199</v>
      </c>
      <c r="S367">
        <v>0.41127277312079197</v>
      </c>
      <c r="U367" s="11" t="str">
        <f t="shared" si="143"/>
        <v>IoU 75</v>
      </c>
      <c r="V367" s="11" t="str">
        <f t="shared" si="134"/>
        <v>IoU 50</v>
      </c>
      <c r="W367" s="11" t="str">
        <f t="shared" si="135"/>
        <v>IoU 50</v>
      </c>
      <c r="Y367" s="11">
        <v>0.90385673022907764</v>
      </c>
      <c r="Z367" s="11">
        <v>0.32418524871355059</v>
      </c>
      <c r="AA367" s="11">
        <v>0.27518506598004505</v>
      </c>
      <c r="AC367" s="11" t="str">
        <f t="shared" si="141"/>
        <v>IoU 100</v>
      </c>
      <c r="AD367" s="11" t="str">
        <f t="shared" si="136"/>
        <v>IoU 50</v>
      </c>
      <c r="AE367" s="11" t="str">
        <f t="shared" si="137"/>
        <v>IoU 50</v>
      </c>
      <c r="AG367" s="11">
        <v>0.83315969426718328</v>
      </c>
      <c r="AH367" s="11">
        <v>0.51092112879122553</v>
      </c>
      <c r="AI367" s="11">
        <v>0.40744113481893779</v>
      </c>
      <c r="AK367" s="11" t="str">
        <f t="shared" si="142"/>
        <v>IoU 100</v>
      </c>
      <c r="AL367" s="11" t="str">
        <f t="shared" si="138"/>
        <v>IoU 75</v>
      </c>
      <c r="AM367" s="11" t="str">
        <f t="shared" si="139"/>
        <v>IoU 50</v>
      </c>
    </row>
    <row r="368" spans="9:39" ht="15" x14ac:dyDescent="0.25">
      <c r="I368">
        <v>0.81419386358271306</v>
      </c>
      <c r="J368">
        <v>0.31860158311345649</v>
      </c>
      <c r="K368">
        <v>0.36205377325239574</v>
      </c>
      <c r="M368" s="11" t="str">
        <f t="shared" si="144"/>
        <v>IoU 100</v>
      </c>
      <c r="N368" s="11" t="str">
        <f t="shared" si="132"/>
        <v>IoU 50</v>
      </c>
      <c r="O368" s="11" t="str">
        <f t="shared" si="133"/>
        <v>IoU 50</v>
      </c>
      <c r="Q368">
        <v>0.52925381352214029</v>
      </c>
      <c r="R368">
        <v>0.5056446505958031</v>
      </c>
      <c r="S368">
        <v>0</v>
      </c>
      <c r="U368" s="11" t="str">
        <f t="shared" si="143"/>
        <v>IoU 75</v>
      </c>
      <c r="V368" s="11" t="str">
        <f t="shared" si="134"/>
        <v>IoU 75</v>
      </c>
      <c r="W368" s="11" t="str">
        <f t="shared" si="135"/>
        <v>IoU 25</v>
      </c>
      <c r="Y368" s="11">
        <v>0.6172376975565006</v>
      </c>
      <c r="Z368" s="11">
        <v>0.34199497066219614</v>
      </c>
      <c r="AA368" s="11">
        <v>0.26157747230748701</v>
      </c>
      <c r="AC368" s="11" t="str">
        <f t="shared" si="141"/>
        <v>IoU 75</v>
      </c>
      <c r="AD368" s="11" t="str">
        <f t="shared" si="136"/>
        <v>IoU 50</v>
      </c>
      <c r="AE368" s="11" t="str">
        <f t="shared" si="137"/>
        <v>IoU 50</v>
      </c>
      <c r="AG368" s="11">
        <v>0.45063069264626948</v>
      </c>
      <c r="AH368" s="11">
        <v>0.41650239469220851</v>
      </c>
      <c r="AI368" s="11">
        <v>0.20474374918065152</v>
      </c>
      <c r="AK368" s="11" t="str">
        <f t="shared" si="142"/>
        <v>IoU 50</v>
      </c>
      <c r="AL368" s="11" t="str">
        <f t="shared" si="138"/>
        <v>IoU 50</v>
      </c>
      <c r="AM368" s="11" t="str">
        <f t="shared" si="139"/>
        <v>IoU 25</v>
      </c>
    </row>
    <row r="369" spans="9:39" ht="15" x14ac:dyDescent="0.25">
      <c r="I369">
        <v>0.92998962100474825</v>
      </c>
      <c r="J369">
        <v>0.65551114052198423</v>
      </c>
      <c r="K369">
        <v>0.42463235294117646</v>
      </c>
      <c r="M369" s="11" t="str">
        <f t="shared" si="144"/>
        <v>IoU 100</v>
      </c>
      <c r="N369" s="11" t="str">
        <f t="shared" si="132"/>
        <v>IoU 75</v>
      </c>
      <c r="O369" s="11" t="str">
        <f t="shared" si="133"/>
        <v>IoU 50</v>
      </c>
      <c r="Q369">
        <v>0.15862935448775234</v>
      </c>
      <c r="R369">
        <v>0.19994774501915177</v>
      </c>
      <c r="S369">
        <v>0</v>
      </c>
      <c r="U369" s="11" t="str">
        <f t="shared" si="143"/>
        <v>IoU 25</v>
      </c>
      <c r="V369" s="11" t="str">
        <f t="shared" si="134"/>
        <v>IoU 25</v>
      </c>
      <c r="W369" s="11" t="str">
        <f t="shared" si="135"/>
        <v>IoU 25</v>
      </c>
      <c r="Y369" s="11">
        <v>0.41946034341782501</v>
      </c>
      <c r="Z369" s="11">
        <v>0.37593459190374245</v>
      </c>
      <c r="AA369" s="11">
        <v>0.28521739130434781</v>
      </c>
      <c r="AC369" s="11" t="str">
        <f t="shared" si="141"/>
        <v>IoU 50</v>
      </c>
      <c r="AD369" s="11" t="str">
        <f t="shared" si="136"/>
        <v>IoU 50</v>
      </c>
      <c r="AE369" s="11" t="str">
        <f t="shared" si="137"/>
        <v>IoU 50</v>
      </c>
      <c r="AG369" s="11">
        <v>0.8320899696120887</v>
      </c>
      <c r="AH369" s="11">
        <v>0.39094456404736277</v>
      </c>
      <c r="AI369" s="11">
        <v>0.35902453710672888</v>
      </c>
      <c r="AK369" s="11" t="str">
        <f t="shared" si="142"/>
        <v>IoU 100</v>
      </c>
      <c r="AL369" s="11" t="str">
        <f t="shared" si="138"/>
        <v>IoU 50</v>
      </c>
      <c r="AM369" s="11" t="str">
        <f t="shared" si="139"/>
        <v>IoU 50</v>
      </c>
    </row>
    <row r="370" spans="9:39" ht="15" x14ac:dyDescent="0.25">
      <c r="I370">
        <v>0.90327245839715631</v>
      </c>
      <c r="J370">
        <v>0.44542121279426578</v>
      </c>
      <c r="K370">
        <v>0.30857917938284163</v>
      </c>
      <c r="M370" s="11" t="str">
        <f t="shared" si="144"/>
        <v>IoU 100</v>
      </c>
      <c r="N370" s="11" t="str">
        <f t="shared" si="132"/>
        <v>IoU 50</v>
      </c>
      <c r="O370" s="11" t="str">
        <f t="shared" si="133"/>
        <v>IoU 50</v>
      </c>
      <c r="Q370">
        <v>0.39365879872679921</v>
      </c>
      <c r="R370">
        <v>0.40785671805643259</v>
      </c>
      <c r="S370">
        <v>0.36999147485080991</v>
      </c>
      <c r="U370" s="11" t="str">
        <f t="shared" si="143"/>
        <v>IoU 50</v>
      </c>
      <c r="V370" s="11" t="str">
        <f t="shared" si="134"/>
        <v>IoU 50</v>
      </c>
      <c r="W370" s="11" t="str">
        <f t="shared" si="135"/>
        <v>IoU 50</v>
      </c>
      <c r="Y370" s="11">
        <v>0</v>
      </c>
      <c r="Z370" s="11">
        <v>0</v>
      </c>
      <c r="AA370" s="11">
        <v>4.6963946869070211E-2</v>
      </c>
      <c r="AC370" s="11" t="str">
        <f t="shared" si="141"/>
        <v>IoU 25</v>
      </c>
      <c r="AD370" s="11" t="str">
        <f t="shared" si="136"/>
        <v>IoU 25</v>
      </c>
      <c r="AE370" s="11" t="str">
        <f t="shared" si="137"/>
        <v>IoU 25</v>
      </c>
      <c r="AG370" s="11">
        <v>0.37977154970405103</v>
      </c>
      <c r="AH370" s="11">
        <v>0.38745050608843667</v>
      </c>
      <c r="AI370" s="11">
        <v>0.24816918109150998</v>
      </c>
      <c r="AK370" s="11" t="str">
        <f t="shared" si="142"/>
        <v>IoU 50</v>
      </c>
      <c r="AL370" s="11" t="str">
        <f t="shared" si="138"/>
        <v>IoU 50</v>
      </c>
      <c r="AM370" s="11" t="str">
        <f t="shared" si="139"/>
        <v>IoU 25</v>
      </c>
    </row>
    <row r="371" spans="9:39" ht="15" x14ac:dyDescent="0.25">
      <c r="I371">
        <v>0.88438001620426854</v>
      </c>
      <c r="J371">
        <v>0.35207036253610802</v>
      </c>
      <c r="K371">
        <v>0.17489580185878942</v>
      </c>
      <c r="M371" s="11" t="str">
        <f t="shared" si="144"/>
        <v>IoU 100</v>
      </c>
      <c r="N371" s="11" t="str">
        <f t="shared" si="132"/>
        <v>IoU 50</v>
      </c>
      <c r="O371" s="11" t="str">
        <f t="shared" si="133"/>
        <v>IoU 25</v>
      </c>
      <c r="Q371">
        <v>0.6033734596727045</v>
      </c>
      <c r="R371">
        <v>0.45678248416765238</v>
      </c>
      <c r="S371">
        <v>0.65540817492935499</v>
      </c>
      <c r="U371" s="11" t="str">
        <f t="shared" si="143"/>
        <v>IoU 75</v>
      </c>
      <c r="V371" s="11" t="str">
        <f t="shared" si="134"/>
        <v>IoU 50</v>
      </c>
      <c r="W371" s="11" t="str">
        <f t="shared" si="135"/>
        <v>IoU 75</v>
      </c>
      <c r="Y371" s="11">
        <v>0.38185172899908781</v>
      </c>
      <c r="Z371" s="11">
        <v>0.22802078822000865</v>
      </c>
      <c r="AA371" s="11">
        <v>0.3052845964197663</v>
      </c>
      <c r="AC371" s="11" t="str">
        <f t="shared" si="141"/>
        <v>IoU 50</v>
      </c>
      <c r="AD371" s="11" t="str">
        <f t="shared" si="136"/>
        <v>IoU 25</v>
      </c>
      <c r="AE371" s="11" t="str">
        <f t="shared" si="137"/>
        <v>IoU 50</v>
      </c>
      <c r="AG371" s="11">
        <v>0.43093011499142397</v>
      </c>
      <c r="AH371" s="11">
        <v>0.34820065168626702</v>
      </c>
      <c r="AI371" s="11">
        <v>0.27467678989184541</v>
      </c>
      <c r="AK371" s="11" t="str">
        <f t="shared" si="142"/>
        <v>IoU 50</v>
      </c>
      <c r="AL371" s="11" t="str">
        <f t="shared" si="138"/>
        <v>IoU 50</v>
      </c>
      <c r="AM371" s="11" t="str">
        <f t="shared" si="139"/>
        <v>IoU 50</v>
      </c>
    </row>
    <row r="372" spans="9:39" ht="15" x14ac:dyDescent="0.25">
      <c r="I372">
        <v>0.73422735215565271</v>
      </c>
      <c r="J372">
        <v>0.3095366289419112</v>
      </c>
      <c r="K372">
        <v>0.29580952219674672</v>
      </c>
      <c r="M372" s="11" t="str">
        <f t="shared" si="144"/>
        <v>IoU 75</v>
      </c>
      <c r="N372" s="11" t="str">
        <f t="shared" si="132"/>
        <v>IoU 50</v>
      </c>
      <c r="O372" s="11" t="str">
        <f t="shared" si="133"/>
        <v>IoU 50</v>
      </c>
      <c r="Q372">
        <v>0.49342035598419742</v>
      </c>
      <c r="R372">
        <v>0.35417733506586468</v>
      </c>
      <c r="S372">
        <v>0.40095603897185444</v>
      </c>
      <c r="U372" s="11" t="str">
        <f t="shared" si="143"/>
        <v>IoU 50</v>
      </c>
      <c r="V372" s="11" t="str">
        <f t="shared" si="134"/>
        <v>IoU 50</v>
      </c>
      <c r="W372" s="11" t="str">
        <f t="shared" si="135"/>
        <v>IoU 50</v>
      </c>
      <c r="Y372" s="11">
        <v>0.44347628693161978</v>
      </c>
      <c r="Z372" s="11">
        <v>0.50385129882660062</v>
      </c>
      <c r="AA372" s="11">
        <v>0.33607907742998355</v>
      </c>
      <c r="AC372" s="11" t="str">
        <f t="shared" si="141"/>
        <v>IoU 50</v>
      </c>
      <c r="AD372" s="11" t="str">
        <f t="shared" si="136"/>
        <v>IoU 75</v>
      </c>
      <c r="AE372" s="11" t="str">
        <f t="shared" si="137"/>
        <v>IoU 50</v>
      </c>
      <c r="AG372" s="11">
        <v>0.80255527499537949</v>
      </c>
      <c r="AH372" s="11">
        <v>0.67662317646679315</v>
      </c>
      <c r="AI372" s="11">
        <v>0.22327964860907759</v>
      </c>
      <c r="AK372" s="11" t="str">
        <f t="shared" si="142"/>
        <v>IoU 100</v>
      </c>
      <c r="AL372" s="11" t="str">
        <f t="shared" si="138"/>
        <v>IoU 75</v>
      </c>
      <c r="AM372" s="11" t="str">
        <f t="shared" si="139"/>
        <v>IoU 25</v>
      </c>
    </row>
    <row r="373" spans="9:39" ht="15" x14ac:dyDescent="0.25">
      <c r="I373">
        <v>0.4559478485740967</v>
      </c>
      <c r="J373">
        <v>0.2648758925535532</v>
      </c>
      <c r="K373">
        <v>0.45752115549085032</v>
      </c>
      <c r="M373" s="11" t="str">
        <f t="shared" si="144"/>
        <v>IoU 50</v>
      </c>
      <c r="N373" s="11" t="str">
        <f t="shared" si="132"/>
        <v>IoU 50</v>
      </c>
      <c r="O373" s="11" t="str">
        <f t="shared" si="133"/>
        <v>IoU 50</v>
      </c>
      <c r="Q373">
        <v>5.5892910977846391E-2</v>
      </c>
      <c r="R373">
        <v>0.25285316390215212</v>
      </c>
      <c r="S373">
        <v>3.7425976829871345E-2</v>
      </c>
      <c r="U373" s="11" t="str">
        <f t="shared" si="143"/>
        <v>IoU 25</v>
      </c>
      <c r="V373" s="11" t="str">
        <f t="shared" si="134"/>
        <v>IoU 50</v>
      </c>
      <c r="W373" s="11" t="str">
        <f t="shared" si="135"/>
        <v>IoU 25</v>
      </c>
      <c r="Y373" s="11">
        <v>0.15426213237921982</v>
      </c>
      <c r="Z373" s="11">
        <v>0.35058683159044185</v>
      </c>
      <c r="AA373" s="11">
        <v>7.4047186932849368E-2</v>
      </c>
      <c r="AC373" s="11" t="str">
        <f t="shared" si="141"/>
        <v>IoU 25</v>
      </c>
      <c r="AD373" s="11" t="str">
        <f t="shared" si="136"/>
        <v>IoU 50</v>
      </c>
      <c r="AE373" s="11" t="str">
        <f t="shared" si="137"/>
        <v>IoU 25</v>
      </c>
      <c r="AG373" s="11">
        <v>0.42358126721763084</v>
      </c>
      <c r="AH373" s="11">
        <v>0.3996578272027374</v>
      </c>
      <c r="AI373" s="11">
        <v>0.31804962124623748</v>
      </c>
      <c r="AK373" s="11" t="str">
        <f t="shared" si="142"/>
        <v>IoU 50</v>
      </c>
      <c r="AL373" s="11" t="str">
        <f t="shared" si="138"/>
        <v>IoU 50</v>
      </c>
      <c r="AM373" s="11" t="str">
        <f t="shared" si="139"/>
        <v>IoU 50</v>
      </c>
    </row>
    <row r="374" spans="9:39" ht="15" x14ac:dyDescent="0.25">
      <c r="I374">
        <v>0.44754027401385127</v>
      </c>
      <c r="J374">
        <v>0.26072879634332147</v>
      </c>
      <c r="K374">
        <v>0.37042753511344345</v>
      </c>
      <c r="M374" s="11" t="str">
        <f t="shared" si="144"/>
        <v>IoU 50</v>
      </c>
      <c r="N374" s="11" t="str">
        <f t="shared" si="132"/>
        <v>IoU 50</v>
      </c>
      <c r="O374" s="11" t="str">
        <f t="shared" si="133"/>
        <v>IoU 50</v>
      </c>
      <c r="Q374">
        <v>0.43975412941354752</v>
      </c>
      <c r="R374">
        <v>0.76390269052050075</v>
      </c>
      <c r="S374">
        <v>0.43798097131724434</v>
      </c>
      <c r="U374" s="11" t="str">
        <f t="shared" si="143"/>
        <v>IoU 50</v>
      </c>
      <c r="V374" s="11" t="str">
        <f t="shared" si="134"/>
        <v>IoU 100</v>
      </c>
      <c r="W374" s="11" t="str">
        <f t="shared" si="135"/>
        <v>IoU 50</v>
      </c>
      <c r="Y374" s="11">
        <v>0.45037197213470775</v>
      </c>
      <c r="Z374" s="11">
        <v>0.29698804308069449</v>
      </c>
      <c r="AA374" s="11">
        <v>0.33580316008828126</v>
      </c>
      <c r="AC374" s="11" t="str">
        <f t="shared" si="141"/>
        <v>IoU 50</v>
      </c>
      <c r="AD374" s="11" t="str">
        <f t="shared" si="136"/>
        <v>IoU 50</v>
      </c>
      <c r="AE374" s="11" t="str">
        <f t="shared" si="137"/>
        <v>IoU 50</v>
      </c>
      <c r="AG374" s="11">
        <v>0.83500622762346155</v>
      </c>
      <c r="AH374" s="11">
        <v>0.37107066887260692</v>
      </c>
      <c r="AI374" s="11">
        <v>0.36164248021108181</v>
      </c>
      <c r="AK374" s="11" t="str">
        <f t="shared" si="142"/>
        <v>IoU 100</v>
      </c>
      <c r="AL374" s="11" t="str">
        <f t="shared" si="138"/>
        <v>IoU 50</v>
      </c>
      <c r="AM374" s="11" t="str">
        <f t="shared" si="139"/>
        <v>IoU 50</v>
      </c>
    </row>
    <row r="375" spans="9:39" ht="15" x14ac:dyDescent="0.25">
      <c r="I375">
        <v>0.78167374686975766</v>
      </c>
      <c r="J375">
        <v>0.24342787861099502</v>
      </c>
      <c r="K375">
        <v>0.33046056397530155</v>
      </c>
      <c r="M375" s="11" t="str">
        <f t="shared" si="144"/>
        <v>IoU 100</v>
      </c>
      <c r="N375" s="11" t="str">
        <f t="shared" si="132"/>
        <v>IoU 25</v>
      </c>
      <c r="O375" s="11" t="str">
        <f t="shared" si="133"/>
        <v>IoU 50</v>
      </c>
      <c r="Q375">
        <v>0.56686016282328999</v>
      </c>
      <c r="R375">
        <v>0.31708690692950692</v>
      </c>
      <c r="S375">
        <v>0.26453888175091844</v>
      </c>
      <c r="U375" s="11" t="str">
        <f t="shared" si="143"/>
        <v>IoU 75</v>
      </c>
      <c r="V375" s="11" t="str">
        <f t="shared" si="134"/>
        <v>IoU 50</v>
      </c>
      <c r="W375" s="11" t="str">
        <f t="shared" si="135"/>
        <v>IoU 50</v>
      </c>
      <c r="Y375" s="11">
        <v>0.81455431160259462</v>
      </c>
      <c r="Z375" s="11">
        <v>0.37386337171811374</v>
      </c>
      <c r="AA375" s="11">
        <v>0.39262720131140416</v>
      </c>
      <c r="AC375" s="11" t="str">
        <f t="shared" si="141"/>
        <v>IoU 100</v>
      </c>
      <c r="AD375" s="11" t="str">
        <f t="shared" si="136"/>
        <v>IoU 50</v>
      </c>
      <c r="AE375" s="11" t="str">
        <f t="shared" si="137"/>
        <v>IoU 50</v>
      </c>
      <c r="AG375" s="11">
        <v>0.42531290508200009</v>
      </c>
      <c r="AH375" s="11">
        <v>0.34696594639514866</v>
      </c>
      <c r="AI375" s="11">
        <v>0.28449345654937436</v>
      </c>
      <c r="AK375" s="11" t="str">
        <f t="shared" si="142"/>
        <v>IoU 50</v>
      </c>
      <c r="AL375" s="11" t="str">
        <f t="shared" si="138"/>
        <v>IoU 50</v>
      </c>
      <c r="AM375" s="11" t="str">
        <f t="shared" si="139"/>
        <v>IoU 50</v>
      </c>
    </row>
    <row r="376" spans="9:39" ht="15" x14ac:dyDescent="0.25">
      <c r="I376">
        <v>0.87520024344319869</v>
      </c>
      <c r="J376">
        <v>0.37364078044266213</v>
      </c>
      <c r="K376">
        <v>0.58438862372129208</v>
      </c>
      <c r="M376" s="11" t="str">
        <f t="shared" si="144"/>
        <v>IoU 100</v>
      </c>
      <c r="N376" s="11" t="str">
        <f t="shared" si="132"/>
        <v>IoU 50</v>
      </c>
      <c r="O376" s="11" t="str">
        <f t="shared" si="133"/>
        <v>IoU 75</v>
      </c>
      <c r="Q376">
        <v>0.3272101994629909</v>
      </c>
      <c r="R376">
        <v>0.23330415112025976</v>
      </c>
      <c r="S376">
        <v>2.8053038454491135E-2</v>
      </c>
      <c r="U376" s="11" t="str">
        <f t="shared" si="143"/>
        <v>IoU 50</v>
      </c>
      <c r="V376" s="11" t="str">
        <f t="shared" si="134"/>
        <v>IoU 25</v>
      </c>
      <c r="W376" s="11" t="str">
        <f t="shared" si="135"/>
        <v>IoU 25</v>
      </c>
      <c r="Y376" s="11">
        <v>5.1997312510840318E-2</v>
      </c>
      <c r="Z376" s="11">
        <v>0</v>
      </c>
      <c r="AA376" s="11">
        <v>0</v>
      </c>
      <c r="AC376" s="11" t="str">
        <f t="shared" si="141"/>
        <v>IoU 25</v>
      </c>
      <c r="AD376" s="11" t="str">
        <f t="shared" si="136"/>
        <v>IoU 25</v>
      </c>
      <c r="AE376" s="11" t="str">
        <f t="shared" si="137"/>
        <v>IoU 25</v>
      </c>
      <c r="AG376" s="11">
        <v>0.78548623913154547</v>
      </c>
      <c r="AH376" s="11">
        <v>0.34351574212893554</v>
      </c>
      <c r="AI376" s="11">
        <v>0.18820726622989875</v>
      </c>
      <c r="AK376" s="11" t="str">
        <f t="shared" si="142"/>
        <v>IoU 100</v>
      </c>
      <c r="AL376" s="11" t="str">
        <f t="shared" si="138"/>
        <v>IoU 50</v>
      </c>
      <c r="AM376" s="11" t="str">
        <f t="shared" si="139"/>
        <v>IoU 25</v>
      </c>
    </row>
    <row r="377" spans="9:39" ht="15" x14ac:dyDescent="0.25">
      <c r="I377">
        <v>0.46283546438105944</v>
      </c>
      <c r="J377">
        <v>0.40580233373429653</v>
      </c>
      <c r="K377">
        <v>0.26972010178117051</v>
      </c>
      <c r="M377" s="11" t="str">
        <f t="shared" si="144"/>
        <v>IoU 50</v>
      </c>
      <c r="N377" s="11" t="str">
        <f t="shared" si="132"/>
        <v>IoU 50</v>
      </c>
      <c r="O377" s="11" t="str">
        <f t="shared" si="133"/>
        <v>IoU 50</v>
      </c>
      <c r="Q377">
        <v>0.43338309182722456</v>
      </c>
      <c r="R377">
        <v>0.46212057026521941</v>
      </c>
      <c r="S377">
        <v>0.33461252003989794</v>
      </c>
      <c r="U377" s="11" t="str">
        <f t="shared" si="143"/>
        <v>IoU 50</v>
      </c>
      <c r="V377" s="11" t="str">
        <f t="shared" si="134"/>
        <v>IoU 50</v>
      </c>
      <c r="W377" s="11" t="str">
        <f t="shared" si="135"/>
        <v>IoU 50</v>
      </c>
      <c r="Y377" s="11">
        <v>0.24002295603765683</v>
      </c>
      <c r="Z377" s="11">
        <v>0.36366102917250809</v>
      </c>
      <c r="AA377" s="11">
        <v>0</v>
      </c>
      <c r="AC377" s="11" t="str">
        <f t="shared" si="141"/>
        <v>IoU 25</v>
      </c>
      <c r="AD377" s="11" t="str">
        <f t="shared" si="136"/>
        <v>IoU 50</v>
      </c>
      <c r="AE377" s="11" t="str">
        <f t="shared" si="137"/>
        <v>IoU 25</v>
      </c>
      <c r="AG377" s="11">
        <v>0.78037906724418882</v>
      </c>
      <c r="AH377" s="11">
        <v>0.28377495128931346</v>
      </c>
      <c r="AI377" s="11">
        <v>0.2481513004626284</v>
      </c>
      <c r="AK377" s="11" t="str">
        <f t="shared" si="142"/>
        <v>IoU 100</v>
      </c>
      <c r="AL377" s="11" t="str">
        <f t="shared" si="138"/>
        <v>IoU 50</v>
      </c>
      <c r="AM377" s="11" t="str">
        <f t="shared" si="139"/>
        <v>IoU 25</v>
      </c>
    </row>
    <row r="378" spans="9:39" ht="15" x14ac:dyDescent="0.25">
      <c r="I378">
        <v>0.85581385653802455</v>
      </c>
      <c r="J378">
        <v>0.31830790690541155</v>
      </c>
      <c r="K378">
        <v>0.35283761767540683</v>
      </c>
      <c r="M378" s="11" t="str">
        <f t="shared" si="144"/>
        <v>IoU 100</v>
      </c>
      <c r="N378" s="11" t="str">
        <f t="shared" si="132"/>
        <v>IoU 50</v>
      </c>
      <c r="O378" s="11" t="str">
        <f t="shared" si="133"/>
        <v>IoU 50</v>
      </c>
      <c r="Q378">
        <v>0.40856950664707653</v>
      </c>
      <c r="R378">
        <v>0.66431695517990741</v>
      </c>
      <c r="S378">
        <v>0.49056542165769396</v>
      </c>
      <c r="U378" s="11" t="str">
        <f t="shared" si="143"/>
        <v>IoU 50</v>
      </c>
      <c r="V378" s="11" t="str">
        <f t="shared" si="134"/>
        <v>IoU 75</v>
      </c>
      <c r="W378" s="11" t="str">
        <f t="shared" si="135"/>
        <v>IoU 50</v>
      </c>
      <c r="Y378" s="11">
        <v>0.77820964536802228</v>
      </c>
      <c r="Z378" s="11">
        <v>0.31810737033666969</v>
      </c>
      <c r="AA378" s="11">
        <v>0.24078803356439255</v>
      </c>
      <c r="AC378" s="11" t="str">
        <f t="shared" si="141"/>
        <v>IoU 100</v>
      </c>
      <c r="AD378" s="11" t="str">
        <f t="shared" si="136"/>
        <v>IoU 50</v>
      </c>
      <c r="AE378" s="11" t="str">
        <f t="shared" si="137"/>
        <v>IoU 25</v>
      </c>
      <c r="AG378" s="11">
        <v>0.41731101783609942</v>
      </c>
      <c r="AH378" s="11">
        <v>0.34705927769285405</v>
      </c>
      <c r="AI378" s="11">
        <v>0.38014610215386446</v>
      </c>
      <c r="AK378" s="11" t="str">
        <f t="shared" si="142"/>
        <v>IoU 50</v>
      </c>
      <c r="AL378" s="11" t="str">
        <f t="shared" si="138"/>
        <v>IoU 50</v>
      </c>
      <c r="AM378" s="11" t="str">
        <f t="shared" si="139"/>
        <v>IoU 50</v>
      </c>
    </row>
    <row r="379" spans="9:39" ht="15" x14ac:dyDescent="0.25">
      <c r="I379">
        <v>0.86233045753450499</v>
      </c>
      <c r="J379">
        <v>0.25171911465728009</v>
      </c>
      <c r="K379">
        <v>0.2646742212627135</v>
      </c>
      <c r="M379" s="11" t="str">
        <f t="shared" si="144"/>
        <v>IoU 100</v>
      </c>
      <c r="N379" s="11" t="str">
        <f t="shared" si="132"/>
        <v>IoU 50</v>
      </c>
      <c r="O379" s="11" t="str">
        <f t="shared" si="133"/>
        <v>IoU 50</v>
      </c>
      <c r="Q379">
        <v>0</v>
      </c>
      <c r="R379">
        <v>0.37465367501552638</v>
      </c>
      <c r="S379">
        <v>0</v>
      </c>
      <c r="U379" s="11" t="str">
        <f t="shared" si="143"/>
        <v>IoU 25</v>
      </c>
      <c r="V379" s="11" t="str">
        <f t="shared" si="134"/>
        <v>IoU 50</v>
      </c>
      <c r="W379" s="11" t="str">
        <f t="shared" si="135"/>
        <v>IoU 25</v>
      </c>
      <c r="AG379" s="11">
        <v>0.41353525435250577</v>
      </c>
      <c r="AH379" s="11">
        <v>0.36711213381715196</v>
      </c>
      <c r="AI379" s="11">
        <v>0.29878811195537175</v>
      </c>
      <c r="AK379" s="11" t="str">
        <f t="shared" si="142"/>
        <v>IoU 50</v>
      </c>
      <c r="AL379" s="11" t="str">
        <f t="shared" si="138"/>
        <v>IoU 50</v>
      </c>
      <c r="AM379" s="11" t="str">
        <f t="shared" si="139"/>
        <v>IoU 50</v>
      </c>
    </row>
    <row r="380" spans="9:39" ht="15" x14ac:dyDescent="0.25">
      <c r="I380">
        <v>0.67736291080836852</v>
      </c>
      <c r="J380">
        <v>0.46198730107546143</v>
      </c>
      <c r="K380">
        <v>0.352491639452096</v>
      </c>
      <c r="M380" s="11" t="str">
        <f t="shared" si="144"/>
        <v>IoU 75</v>
      </c>
      <c r="N380" s="11" t="str">
        <f t="shared" si="132"/>
        <v>IoU 50</v>
      </c>
      <c r="O380" s="11" t="str">
        <f t="shared" si="133"/>
        <v>IoU 50</v>
      </c>
      <c r="Q380">
        <v>0.4351510387542063</v>
      </c>
      <c r="R380">
        <v>0.36688287428261906</v>
      </c>
      <c r="S380">
        <v>0.22610362800786804</v>
      </c>
      <c r="U380" s="11" t="str">
        <f t="shared" si="143"/>
        <v>IoU 50</v>
      </c>
      <c r="V380" s="11" t="str">
        <f t="shared" si="134"/>
        <v>IoU 50</v>
      </c>
      <c r="W380" s="11" t="str">
        <f t="shared" si="135"/>
        <v>IoU 25</v>
      </c>
      <c r="Y380" s="11">
        <v>0.43779627177746477</v>
      </c>
      <c r="Z380" s="11">
        <v>0.34995035677811676</v>
      </c>
      <c r="AA380" s="11">
        <v>0.35518298853894409</v>
      </c>
      <c r="AC380" s="11" t="str">
        <f t="shared" ref="AC380:AC400" si="145">VLOOKUP(Y380,IoU_Thresholds,2,TRUE)</f>
        <v>IoU 50</v>
      </c>
      <c r="AD380" s="11" t="str">
        <f t="shared" si="136"/>
        <v>IoU 50</v>
      </c>
      <c r="AE380" s="11" t="str">
        <f t="shared" si="137"/>
        <v>IoU 50</v>
      </c>
      <c r="AG380" s="11">
        <v>0.45729303547963207</v>
      </c>
      <c r="AH380" s="11">
        <v>0.39423464465500357</v>
      </c>
      <c r="AI380" s="11">
        <v>0.34237995824634654</v>
      </c>
      <c r="AK380" s="11" t="str">
        <f t="shared" si="142"/>
        <v>IoU 50</v>
      </c>
      <c r="AL380" s="11" t="str">
        <f t="shared" si="138"/>
        <v>IoU 50</v>
      </c>
      <c r="AM380" s="11" t="str">
        <f t="shared" si="139"/>
        <v>IoU 50</v>
      </c>
    </row>
    <row r="381" spans="9:39" ht="15" x14ac:dyDescent="0.25">
      <c r="I381">
        <v>0.25989952863827032</v>
      </c>
      <c r="J381">
        <v>0.22607042393049531</v>
      </c>
      <c r="K381">
        <v>0.3537632856850097</v>
      </c>
      <c r="M381" s="11" t="str">
        <f t="shared" si="144"/>
        <v>IoU 50</v>
      </c>
      <c r="N381" s="11" t="str">
        <f t="shared" si="132"/>
        <v>IoU 25</v>
      </c>
      <c r="O381" s="11" t="str">
        <f t="shared" si="133"/>
        <v>IoU 50</v>
      </c>
      <c r="Q381">
        <v>0.35335556982849192</v>
      </c>
      <c r="R381">
        <v>0.37341052885295578</v>
      </c>
      <c r="S381">
        <v>0.67099578718081065</v>
      </c>
      <c r="U381" s="11" t="str">
        <f t="shared" si="143"/>
        <v>IoU 50</v>
      </c>
      <c r="V381" s="11" t="str">
        <f t="shared" si="134"/>
        <v>IoU 50</v>
      </c>
      <c r="W381" s="11" t="str">
        <f t="shared" si="135"/>
        <v>IoU 75</v>
      </c>
      <c r="Y381" s="11">
        <v>0.66265877804439599</v>
      </c>
      <c r="Z381" s="11">
        <v>4.2118197827344599E-2</v>
      </c>
      <c r="AA381" s="11">
        <v>0</v>
      </c>
      <c r="AC381" s="11" t="str">
        <f t="shared" si="145"/>
        <v>IoU 75</v>
      </c>
      <c r="AD381" s="11" t="str">
        <f t="shared" si="136"/>
        <v>IoU 25</v>
      </c>
      <c r="AE381" s="11" t="str">
        <f t="shared" si="137"/>
        <v>IoU 25</v>
      </c>
      <c r="AG381" s="11">
        <v>0.45560022145797857</v>
      </c>
      <c r="AH381" s="11">
        <v>0.35328805071585984</v>
      </c>
      <c r="AI381" s="11">
        <v>0.37810071043773819</v>
      </c>
      <c r="AK381" s="11" t="str">
        <f t="shared" si="142"/>
        <v>IoU 50</v>
      </c>
      <c r="AL381" s="11" t="str">
        <f t="shared" si="138"/>
        <v>IoU 50</v>
      </c>
      <c r="AM381" s="11" t="str">
        <f t="shared" si="139"/>
        <v>IoU 50</v>
      </c>
    </row>
    <row r="382" spans="9:39" ht="15" x14ac:dyDescent="0.25">
      <c r="I382">
        <v>0.40585526206010447</v>
      </c>
      <c r="J382">
        <v>0.45759950634740088</v>
      </c>
      <c r="K382">
        <v>0.23308270676691728</v>
      </c>
      <c r="M382" s="11" t="str">
        <f t="shared" si="144"/>
        <v>IoU 50</v>
      </c>
      <c r="N382" s="11" t="str">
        <f t="shared" si="132"/>
        <v>IoU 50</v>
      </c>
      <c r="O382" s="11" t="str">
        <f t="shared" si="133"/>
        <v>IoU 25</v>
      </c>
      <c r="Q382">
        <v>0.45585472761427676</v>
      </c>
      <c r="R382">
        <v>0.63466355247037054</v>
      </c>
      <c r="S382">
        <v>0.3106896999610339</v>
      </c>
      <c r="U382" s="11" t="str">
        <f t="shared" si="143"/>
        <v>IoU 50</v>
      </c>
      <c r="V382" s="11" t="str">
        <f t="shared" si="134"/>
        <v>IoU 75</v>
      </c>
      <c r="W382" s="11" t="str">
        <f t="shared" si="135"/>
        <v>IoU 50</v>
      </c>
      <c r="Y382" s="11">
        <v>0.44535550529948426</v>
      </c>
      <c r="Z382" s="11">
        <v>0.32059649493653686</v>
      </c>
      <c r="AA382" s="11">
        <v>0.27594019030357952</v>
      </c>
      <c r="AC382" s="11" t="str">
        <f t="shared" si="145"/>
        <v>IoU 50</v>
      </c>
      <c r="AD382" s="11" t="str">
        <f t="shared" si="136"/>
        <v>IoU 50</v>
      </c>
      <c r="AE382" s="11" t="str">
        <f t="shared" si="137"/>
        <v>IoU 50</v>
      </c>
      <c r="AG382" s="11">
        <v>0.83594793835041115</v>
      </c>
      <c r="AH382" s="11">
        <v>0.46740432727288728</v>
      </c>
      <c r="AI382" s="11">
        <v>0.32337290216946379</v>
      </c>
      <c r="AK382" s="11" t="str">
        <f t="shared" ref="AK382:AK414" si="146">VLOOKUP(AG382,IoU_Thresholds,2,TRUE)</f>
        <v>IoU 100</v>
      </c>
      <c r="AL382" s="11" t="str">
        <f t="shared" si="138"/>
        <v>IoU 50</v>
      </c>
      <c r="AM382" s="11" t="str">
        <f t="shared" si="139"/>
        <v>IoU 50</v>
      </c>
    </row>
    <row r="383" spans="9:39" ht="15" x14ac:dyDescent="0.25">
      <c r="I383">
        <v>0.67189749565049595</v>
      </c>
      <c r="J383">
        <v>0.46442126620577784</v>
      </c>
      <c r="K383">
        <v>0.49324363297905766</v>
      </c>
      <c r="M383" s="11" t="str">
        <f t="shared" si="144"/>
        <v>IoU 75</v>
      </c>
      <c r="N383" s="11" t="str">
        <f t="shared" si="132"/>
        <v>IoU 50</v>
      </c>
      <c r="O383" s="11" t="str">
        <f t="shared" si="133"/>
        <v>IoU 50</v>
      </c>
      <c r="Q383">
        <v>0.46379911210659891</v>
      </c>
      <c r="R383">
        <v>0.31714808982536863</v>
      </c>
      <c r="S383">
        <v>0.43373799384753553</v>
      </c>
      <c r="U383" s="11" t="str">
        <f t="shared" si="143"/>
        <v>IoU 50</v>
      </c>
      <c r="V383" s="11" t="str">
        <f t="shared" si="134"/>
        <v>IoU 50</v>
      </c>
      <c r="W383" s="11" t="str">
        <f t="shared" si="135"/>
        <v>IoU 50</v>
      </c>
      <c r="Y383" s="11">
        <v>0.44510385756676557</v>
      </c>
      <c r="Z383" s="11">
        <v>0.30296127562642367</v>
      </c>
      <c r="AA383" s="11">
        <v>0.35017701963308656</v>
      </c>
      <c r="AC383" s="11" t="str">
        <f t="shared" si="145"/>
        <v>IoU 50</v>
      </c>
      <c r="AD383" s="11" t="str">
        <f t="shared" si="136"/>
        <v>IoU 50</v>
      </c>
      <c r="AE383" s="11" t="str">
        <f t="shared" si="137"/>
        <v>IoU 50</v>
      </c>
      <c r="AG383" s="11">
        <v>0.46095292736489024</v>
      </c>
      <c r="AH383" s="11">
        <v>0.62484366459504226</v>
      </c>
      <c r="AI383" s="11">
        <v>0.30624499599679744</v>
      </c>
      <c r="AK383" s="11" t="str">
        <f t="shared" si="146"/>
        <v>IoU 50</v>
      </c>
      <c r="AL383" s="11" t="str">
        <f t="shared" si="138"/>
        <v>IoU 75</v>
      </c>
      <c r="AM383" s="11" t="str">
        <f t="shared" si="139"/>
        <v>IoU 50</v>
      </c>
    </row>
    <row r="384" spans="9:39" ht="15" x14ac:dyDescent="0.25">
      <c r="I384">
        <v>0.8385814445127755</v>
      </c>
      <c r="J384">
        <v>0.36498467600700524</v>
      </c>
      <c r="K384">
        <v>0.3401724650609575</v>
      </c>
      <c r="M384" s="11" t="str">
        <f t="shared" si="144"/>
        <v>IoU 100</v>
      </c>
      <c r="N384" s="11" t="str">
        <f t="shared" si="132"/>
        <v>IoU 50</v>
      </c>
      <c r="O384" s="11" t="str">
        <f t="shared" si="133"/>
        <v>IoU 50</v>
      </c>
      <c r="Q384">
        <v>0.40870086653941656</v>
      </c>
      <c r="R384">
        <v>0.4215520468072449</v>
      </c>
      <c r="S384">
        <v>0.41847826086956524</v>
      </c>
      <c r="U384" s="11" t="str">
        <f t="shared" ref="U384:U414" si="147">VLOOKUP(Q384,IoU_Thresholds,2,TRUE)</f>
        <v>IoU 50</v>
      </c>
      <c r="V384" s="11" t="str">
        <f t="shared" si="134"/>
        <v>IoU 50</v>
      </c>
      <c r="W384" s="11" t="str">
        <f t="shared" si="135"/>
        <v>IoU 50</v>
      </c>
      <c r="Y384" s="11">
        <v>0.82246102024956169</v>
      </c>
      <c r="Z384" s="11">
        <v>0.35375990721051614</v>
      </c>
      <c r="AA384" s="11">
        <v>0.30117531831537708</v>
      </c>
      <c r="AC384" s="11" t="str">
        <f t="shared" si="145"/>
        <v>IoU 100</v>
      </c>
      <c r="AD384" s="11" t="str">
        <f t="shared" si="136"/>
        <v>IoU 50</v>
      </c>
      <c r="AE384" s="11" t="str">
        <f t="shared" si="137"/>
        <v>IoU 50</v>
      </c>
      <c r="AG384" s="11">
        <v>0.77639150255914768</v>
      </c>
      <c r="AH384" s="11">
        <v>0.32758620689655171</v>
      </c>
      <c r="AI384" s="11">
        <v>0.36758620689655175</v>
      </c>
      <c r="AK384" s="11" t="str">
        <f t="shared" si="146"/>
        <v>IoU 100</v>
      </c>
      <c r="AL384" s="11" t="str">
        <f t="shared" si="138"/>
        <v>IoU 50</v>
      </c>
      <c r="AM384" s="11" t="str">
        <f t="shared" si="139"/>
        <v>IoU 50</v>
      </c>
    </row>
    <row r="385" spans="9:39" ht="15" x14ac:dyDescent="0.25">
      <c r="I385">
        <v>0.82763317509955259</v>
      </c>
      <c r="J385">
        <v>0.51631909997564385</v>
      </c>
      <c r="K385">
        <v>0.31519548569125355</v>
      </c>
      <c r="M385" s="11" t="str">
        <f t="shared" si="144"/>
        <v>IoU 100</v>
      </c>
      <c r="N385" s="11" t="str">
        <f t="shared" si="132"/>
        <v>IoU 75</v>
      </c>
      <c r="O385" s="11" t="str">
        <f t="shared" si="133"/>
        <v>IoU 50</v>
      </c>
      <c r="Q385">
        <v>0.45620172012630905</v>
      </c>
      <c r="R385">
        <v>0.55187781603399766</v>
      </c>
      <c r="S385">
        <v>0.42200990799716914</v>
      </c>
      <c r="U385" s="11" t="str">
        <f t="shared" si="147"/>
        <v>IoU 50</v>
      </c>
      <c r="V385" s="11" t="str">
        <f t="shared" si="134"/>
        <v>IoU 75</v>
      </c>
      <c r="W385" s="11" t="str">
        <f t="shared" si="135"/>
        <v>IoU 50</v>
      </c>
      <c r="Y385" s="11">
        <v>0.35401002377286983</v>
      </c>
      <c r="Z385" s="11">
        <v>6.2948528867748516E-2</v>
      </c>
      <c r="AA385" s="11">
        <v>0</v>
      </c>
      <c r="AC385" s="11" t="str">
        <f t="shared" si="145"/>
        <v>IoU 50</v>
      </c>
      <c r="AD385" s="11" t="str">
        <f t="shared" si="136"/>
        <v>IoU 25</v>
      </c>
      <c r="AE385" s="11" t="str">
        <f t="shared" si="137"/>
        <v>IoU 25</v>
      </c>
      <c r="AG385" s="11">
        <v>0.85333452217629735</v>
      </c>
      <c r="AH385" s="11">
        <v>0.69667839726177072</v>
      </c>
      <c r="AI385" s="11">
        <v>0.31352141751247203</v>
      </c>
      <c r="AK385" s="11" t="str">
        <f t="shared" si="146"/>
        <v>IoU 100</v>
      </c>
      <c r="AL385" s="11" t="str">
        <f t="shared" si="138"/>
        <v>IoU 75</v>
      </c>
      <c r="AM385" s="11" t="str">
        <f t="shared" si="139"/>
        <v>IoU 50</v>
      </c>
    </row>
    <row r="386" spans="9:39" ht="15" x14ac:dyDescent="0.25">
      <c r="I386">
        <v>0.63776523091629977</v>
      </c>
      <c r="J386">
        <v>0.4848932950331758</v>
      </c>
      <c r="K386">
        <v>0.25077720207253884</v>
      </c>
      <c r="M386" s="11" t="str">
        <f t="shared" si="144"/>
        <v>IoU 75</v>
      </c>
      <c r="N386" s="11" t="str">
        <f t="shared" si="132"/>
        <v>IoU 50</v>
      </c>
      <c r="O386" s="11" t="str">
        <f t="shared" si="133"/>
        <v>IoU 50</v>
      </c>
      <c r="Q386">
        <v>0.13943386255601922</v>
      </c>
      <c r="R386">
        <v>0</v>
      </c>
      <c r="S386">
        <v>0</v>
      </c>
      <c r="U386" s="11" t="str">
        <f t="shared" si="147"/>
        <v>IoU 25</v>
      </c>
      <c r="V386" s="11" t="str">
        <f t="shared" si="134"/>
        <v>IoU 25</v>
      </c>
      <c r="W386" s="11" t="str">
        <f t="shared" si="135"/>
        <v>IoU 25</v>
      </c>
      <c r="Y386" s="11">
        <v>0.33600459249327663</v>
      </c>
      <c r="Z386" s="11">
        <v>0.3370595911265768</v>
      </c>
      <c r="AA386" s="11">
        <v>7.9301285052806827E-2</v>
      </c>
      <c r="AC386" s="11" t="str">
        <f t="shared" si="145"/>
        <v>IoU 50</v>
      </c>
      <c r="AD386" s="11" t="str">
        <f t="shared" si="136"/>
        <v>IoU 50</v>
      </c>
      <c r="AE386" s="11" t="str">
        <f t="shared" si="137"/>
        <v>IoU 25</v>
      </c>
      <c r="AG386" s="11">
        <v>0.4563313555130542</v>
      </c>
      <c r="AH386" s="11">
        <v>0.30182863588568903</v>
      </c>
      <c r="AI386" s="11">
        <v>0.3798502382573179</v>
      </c>
      <c r="AK386" s="11" t="str">
        <f t="shared" si="146"/>
        <v>IoU 50</v>
      </c>
      <c r="AL386" s="11" t="str">
        <f t="shared" si="138"/>
        <v>IoU 50</v>
      </c>
      <c r="AM386" s="11" t="str">
        <f t="shared" si="139"/>
        <v>IoU 50</v>
      </c>
    </row>
    <row r="387" spans="9:39" ht="15" x14ac:dyDescent="0.25">
      <c r="I387">
        <v>8.9557926829268289E-2</v>
      </c>
      <c r="J387">
        <v>0</v>
      </c>
      <c r="K387">
        <v>5.9696596965969663E-2</v>
      </c>
      <c r="M387" s="11" t="str">
        <f t="shared" si="144"/>
        <v>IoU 25</v>
      </c>
      <c r="N387" s="11" t="str">
        <f t="shared" si="132"/>
        <v>IoU 25</v>
      </c>
      <c r="O387" s="11" t="str">
        <f t="shared" si="133"/>
        <v>IoU 25</v>
      </c>
      <c r="Q387">
        <v>0.55726984826583192</v>
      </c>
      <c r="R387">
        <v>0.43367644916313869</v>
      </c>
      <c r="S387">
        <v>0.19859352523535345</v>
      </c>
      <c r="U387" s="11" t="str">
        <f t="shared" si="147"/>
        <v>IoU 75</v>
      </c>
      <c r="V387" s="11" t="str">
        <f t="shared" si="134"/>
        <v>IoU 50</v>
      </c>
      <c r="W387" s="11" t="str">
        <f t="shared" si="135"/>
        <v>IoU 25</v>
      </c>
      <c r="Y387" s="11">
        <v>0</v>
      </c>
      <c r="Z387" s="11">
        <v>0</v>
      </c>
      <c r="AA387" s="11">
        <v>0</v>
      </c>
      <c r="AC387" s="11" t="str">
        <f t="shared" si="145"/>
        <v>IoU 25</v>
      </c>
      <c r="AD387" s="11" t="str">
        <f t="shared" si="136"/>
        <v>IoU 25</v>
      </c>
      <c r="AE387" s="11" t="str">
        <f t="shared" si="137"/>
        <v>IoU 25</v>
      </c>
      <c r="AG387" s="11">
        <v>0.46543157401028917</v>
      </c>
      <c r="AH387" s="11">
        <v>0.37738607050730866</v>
      </c>
      <c r="AI387" s="11">
        <v>0.24987012987012988</v>
      </c>
      <c r="AK387" s="11" t="str">
        <f t="shared" si="146"/>
        <v>IoU 50</v>
      </c>
      <c r="AL387" s="11" t="str">
        <f t="shared" si="138"/>
        <v>IoU 50</v>
      </c>
      <c r="AM387" s="11" t="str">
        <f t="shared" si="139"/>
        <v>IoU 25</v>
      </c>
    </row>
    <row r="388" spans="9:39" ht="15" x14ac:dyDescent="0.25">
      <c r="I388">
        <v>0.8518945328456633</v>
      </c>
      <c r="J388">
        <v>0.6430014289426722</v>
      </c>
      <c r="K388">
        <v>0.31340972437287085</v>
      </c>
      <c r="M388" s="11" t="str">
        <f t="shared" si="144"/>
        <v>IoU 100</v>
      </c>
      <c r="N388" s="11" t="str">
        <f t="shared" si="132"/>
        <v>IoU 75</v>
      </c>
      <c r="O388" s="11" t="str">
        <f t="shared" si="133"/>
        <v>IoU 50</v>
      </c>
      <c r="Q388">
        <v>0.56105710572586864</v>
      </c>
      <c r="R388">
        <v>0.41397006675598519</v>
      </c>
      <c r="S388">
        <v>0.42645875673873074</v>
      </c>
      <c r="U388" s="11" t="str">
        <f t="shared" si="147"/>
        <v>IoU 75</v>
      </c>
      <c r="V388" s="11" t="str">
        <f t="shared" si="134"/>
        <v>IoU 50</v>
      </c>
      <c r="W388" s="11" t="str">
        <f t="shared" si="135"/>
        <v>IoU 50</v>
      </c>
      <c r="Y388" s="11">
        <v>0.50607399070792791</v>
      </c>
      <c r="Z388" s="11">
        <v>0</v>
      </c>
      <c r="AA388" s="11">
        <v>8.50586897407377E-2</v>
      </c>
      <c r="AC388" s="11" t="str">
        <f t="shared" si="145"/>
        <v>IoU 75</v>
      </c>
      <c r="AD388" s="11" t="str">
        <f t="shared" si="136"/>
        <v>IoU 25</v>
      </c>
      <c r="AE388" s="11" t="str">
        <f t="shared" si="137"/>
        <v>IoU 25</v>
      </c>
      <c r="AG388" s="11">
        <v>0.47747331606644999</v>
      </c>
      <c r="AH388" s="11">
        <v>0.4475674730285773</v>
      </c>
      <c r="AI388" s="11">
        <v>0.29882604055496265</v>
      </c>
      <c r="AK388" s="11" t="str">
        <f t="shared" si="146"/>
        <v>IoU 50</v>
      </c>
      <c r="AL388" s="11" t="str">
        <f t="shared" si="138"/>
        <v>IoU 50</v>
      </c>
      <c r="AM388" s="11" t="str">
        <f t="shared" si="139"/>
        <v>IoU 50</v>
      </c>
    </row>
    <row r="389" spans="9:39" ht="15" x14ac:dyDescent="0.25">
      <c r="I389">
        <v>0.84859772773135089</v>
      </c>
      <c r="J389">
        <v>0.53665249632550205</v>
      </c>
      <c r="K389">
        <v>0.36772385927455142</v>
      </c>
      <c r="M389" s="11" t="str">
        <f t="shared" si="144"/>
        <v>IoU 100</v>
      </c>
      <c r="N389" s="11" t="str">
        <f t="shared" si="132"/>
        <v>IoU 75</v>
      </c>
      <c r="O389" s="11" t="str">
        <f t="shared" si="133"/>
        <v>IoU 50</v>
      </c>
      <c r="Q389">
        <v>0.49344539120717701</v>
      </c>
      <c r="R389">
        <v>0.42167532360458404</v>
      </c>
      <c r="S389">
        <v>0.34870918487668567</v>
      </c>
      <c r="U389" s="11" t="str">
        <f t="shared" si="147"/>
        <v>IoU 50</v>
      </c>
      <c r="V389" s="11" t="str">
        <f t="shared" si="134"/>
        <v>IoU 50</v>
      </c>
      <c r="W389" s="11" t="str">
        <f t="shared" si="135"/>
        <v>IoU 50</v>
      </c>
      <c r="Y389" s="11">
        <v>0.39975371353805894</v>
      </c>
      <c r="Z389" s="11">
        <v>0.37762971278747409</v>
      </c>
      <c r="AA389" s="11">
        <v>0.32265996840130345</v>
      </c>
      <c r="AC389" s="11" t="str">
        <f t="shared" si="145"/>
        <v>IoU 50</v>
      </c>
      <c r="AD389" s="11" t="str">
        <f t="shared" si="136"/>
        <v>IoU 50</v>
      </c>
      <c r="AE389" s="11" t="str">
        <f t="shared" si="137"/>
        <v>IoU 50</v>
      </c>
      <c r="AG389" s="11">
        <v>3.1445991945237589E-2</v>
      </c>
      <c r="AH389" s="11">
        <v>0</v>
      </c>
      <c r="AI389" s="11">
        <v>0</v>
      </c>
      <c r="AK389" s="11" t="str">
        <f t="shared" si="146"/>
        <v>IoU 25</v>
      </c>
      <c r="AL389" s="11" t="str">
        <f t="shared" si="138"/>
        <v>IoU 25</v>
      </c>
      <c r="AM389" s="11" t="str">
        <f t="shared" si="139"/>
        <v>IoU 25</v>
      </c>
    </row>
    <row r="390" spans="9:39" ht="15" x14ac:dyDescent="0.25">
      <c r="I390">
        <v>0.4538106302131798</v>
      </c>
      <c r="J390">
        <v>0.38548053545376965</v>
      </c>
      <c r="K390">
        <v>0.35330733429726358</v>
      </c>
      <c r="M390" s="11" t="str">
        <f t="shared" si="144"/>
        <v>IoU 50</v>
      </c>
      <c r="N390" s="11" t="str">
        <f t="shared" si="132"/>
        <v>IoU 50</v>
      </c>
      <c r="O390" s="11" t="str">
        <f t="shared" si="133"/>
        <v>IoU 50</v>
      </c>
      <c r="Q390">
        <v>0.53451927889331119</v>
      </c>
      <c r="R390">
        <v>0.36856262974431814</v>
      </c>
      <c r="S390">
        <v>0.31969088982492638</v>
      </c>
      <c r="U390" s="11" t="str">
        <f t="shared" si="147"/>
        <v>IoU 75</v>
      </c>
      <c r="V390" s="11" t="str">
        <f t="shared" si="134"/>
        <v>IoU 50</v>
      </c>
      <c r="W390" s="11" t="str">
        <f t="shared" si="135"/>
        <v>IoU 50</v>
      </c>
      <c r="Y390" s="11">
        <v>0.43628208587266992</v>
      </c>
      <c r="Z390" s="11">
        <v>0.43127481815779278</v>
      </c>
      <c r="AA390" s="11">
        <v>0.74024571625023472</v>
      </c>
      <c r="AC390" s="11" t="str">
        <f t="shared" si="145"/>
        <v>IoU 50</v>
      </c>
      <c r="AD390" s="11" t="str">
        <f t="shared" si="136"/>
        <v>IoU 50</v>
      </c>
      <c r="AE390" s="11" t="str">
        <f t="shared" si="137"/>
        <v>IoU 75</v>
      </c>
      <c r="AG390" s="11">
        <v>0.37609710550887021</v>
      </c>
      <c r="AH390" s="11">
        <v>0.4721601109197664</v>
      </c>
      <c r="AI390" s="11">
        <v>0.28241662518666005</v>
      </c>
      <c r="AK390" s="11" t="str">
        <f t="shared" si="146"/>
        <v>IoU 50</v>
      </c>
      <c r="AL390" s="11" t="str">
        <f t="shared" si="138"/>
        <v>IoU 50</v>
      </c>
      <c r="AM390" s="11" t="str">
        <f t="shared" si="139"/>
        <v>IoU 50</v>
      </c>
    </row>
    <row r="391" spans="9:39" ht="15" x14ac:dyDescent="0.25">
      <c r="I391"/>
      <c r="J391"/>
      <c r="K391"/>
      <c r="Q391">
        <v>0.79461837123723222</v>
      </c>
      <c r="R391">
        <v>0.39256886078056086</v>
      </c>
      <c r="S391">
        <v>0.28450363196125911</v>
      </c>
      <c r="U391" s="11" t="str">
        <f t="shared" si="147"/>
        <v>IoU 100</v>
      </c>
      <c r="V391" s="11" t="str">
        <f t="shared" si="134"/>
        <v>IoU 50</v>
      </c>
      <c r="W391" s="11" t="str">
        <f t="shared" si="135"/>
        <v>IoU 50</v>
      </c>
      <c r="Y391" s="11">
        <v>0.42135528981245507</v>
      </c>
      <c r="Z391" s="11">
        <v>0.4168280029903535</v>
      </c>
      <c r="AA391" s="11">
        <v>0.33346349595927216</v>
      </c>
      <c r="AC391" s="11" t="str">
        <f t="shared" si="145"/>
        <v>IoU 50</v>
      </c>
      <c r="AD391" s="11" t="str">
        <f t="shared" si="136"/>
        <v>IoU 50</v>
      </c>
      <c r="AE391" s="11" t="str">
        <f t="shared" si="137"/>
        <v>IoU 50</v>
      </c>
      <c r="AG391" s="11">
        <v>0.8613984752885987</v>
      </c>
      <c r="AH391" s="11">
        <v>0.8458218433369129</v>
      </c>
      <c r="AI391" s="11">
        <v>0.35673624288425049</v>
      </c>
      <c r="AK391" s="11" t="str">
        <f t="shared" si="146"/>
        <v>IoU 100</v>
      </c>
      <c r="AL391" s="11" t="str">
        <f t="shared" si="138"/>
        <v>IoU 100</v>
      </c>
      <c r="AM391" s="11" t="str">
        <f t="shared" si="139"/>
        <v>IoU 50</v>
      </c>
    </row>
    <row r="392" spans="9:39" ht="15" x14ac:dyDescent="0.25">
      <c r="I392">
        <v>0.85580746235871863</v>
      </c>
      <c r="J392">
        <v>0.43190792560444358</v>
      </c>
      <c r="K392">
        <v>0.18881857895389659</v>
      </c>
      <c r="M392" s="11" t="str">
        <f t="shared" ref="M392:M427" si="148">VLOOKUP(I392,IoU_Thresholds,2,TRUE)</f>
        <v>IoU 100</v>
      </c>
      <c r="N392" s="11" t="str">
        <f t="shared" si="132"/>
        <v>IoU 50</v>
      </c>
      <c r="O392" s="11" t="str">
        <f t="shared" si="133"/>
        <v>IoU 25</v>
      </c>
      <c r="Q392">
        <v>0.15583334583272301</v>
      </c>
      <c r="R392">
        <v>0.12984523753804864</v>
      </c>
      <c r="S392">
        <v>7.4346993208767378E-2</v>
      </c>
      <c r="U392" s="11" t="str">
        <f t="shared" si="147"/>
        <v>IoU 25</v>
      </c>
      <c r="V392" s="11" t="str">
        <f t="shared" si="134"/>
        <v>IoU 25</v>
      </c>
      <c r="W392" s="11" t="str">
        <f t="shared" si="135"/>
        <v>IoU 25</v>
      </c>
      <c r="Y392" s="11">
        <v>0.58460254148087376</v>
      </c>
      <c r="Z392" s="11">
        <v>0.42453882690187061</v>
      </c>
      <c r="AA392" s="11">
        <v>0.31709321436957033</v>
      </c>
      <c r="AC392" s="11" t="str">
        <f t="shared" si="145"/>
        <v>IoU 75</v>
      </c>
      <c r="AD392" s="11" t="str">
        <f t="shared" si="136"/>
        <v>IoU 50</v>
      </c>
      <c r="AE392" s="11" t="str">
        <f t="shared" si="137"/>
        <v>IoU 50</v>
      </c>
      <c r="AG392" s="11">
        <v>0.40766759776536315</v>
      </c>
      <c r="AH392" s="11">
        <v>0.36105263157894735</v>
      </c>
      <c r="AI392" s="11">
        <v>0.37817638266068759</v>
      </c>
      <c r="AK392" s="11" t="str">
        <f t="shared" si="146"/>
        <v>IoU 50</v>
      </c>
      <c r="AL392" s="11" t="str">
        <f t="shared" si="138"/>
        <v>IoU 50</v>
      </c>
      <c r="AM392" s="11" t="str">
        <f t="shared" si="139"/>
        <v>IoU 50</v>
      </c>
    </row>
    <row r="393" spans="9:39" ht="15" x14ac:dyDescent="0.25">
      <c r="I393">
        <v>0.89444433034495385</v>
      </c>
      <c r="J393">
        <v>0.38427790080813029</v>
      </c>
      <c r="K393">
        <v>0.19595007125123087</v>
      </c>
      <c r="M393" s="11" t="str">
        <f t="shared" si="148"/>
        <v>IoU 100</v>
      </c>
      <c r="N393" s="11" t="str">
        <f t="shared" si="132"/>
        <v>IoU 50</v>
      </c>
      <c r="O393" s="11" t="str">
        <f t="shared" si="133"/>
        <v>IoU 25</v>
      </c>
      <c r="Q393">
        <v>0.53168920982530965</v>
      </c>
      <c r="R393">
        <v>0.38304442536763844</v>
      </c>
      <c r="S393">
        <v>0.3297007320301365</v>
      </c>
      <c r="U393" s="11" t="str">
        <f t="shared" si="147"/>
        <v>IoU 75</v>
      </c>
      <c r="V393" s="11" t="str">
        <f t="shared" si="134"/>
        <v>IoU 50</v>
      </c>
      <c r="W393" s="11" t="str">
        <f t="shared" si="135"/>
        <v>IoU 50</v>
      </c>
      <c r="Y393" s="11">
        <v>0.45828982674453839</v>
      </c>
      <c r="Z393" s="11">
        <v>0.22856026435034849</v>
      </c>
      <c r="AA393" s="11">
        <v>3.858724610565159E-2</v>
      </c>
      <c r="AC393" s="11" t="str">
        <f t="shared" si="145"/>
        <v>IoU 50</v>
      </c>
      <c r="AD393" s="11" t="str">
        <f t="shared" si="136"/>
        <v>IoU 25</v>
      </c>
      <c r="AE393" s="11" t="str">
        <f t="shared" si="137"/>
        <v>IoU 25</v>
      </c>
      <c r="AG393" s="11">
        <v>0.44379840104258039</v>
      </c>
      <c r="AH393" s="11">
        <v>0.37548539591423263</v>
      </c>
      <c r="AI393" s="11">
        <v>0.4079333986287953</v>
      </c>
      <c r="AK393" s="11" t="str">
        <f t="shared" si="146"/>
        <v>IoU 50</v>
      </c>
      <c r="AL393" s="11" t="str">
        <f t="shared" si="138"/>
        <v>IoU 50</v>
      </c>
      <c r="AM393" s="11" t="str">
        <f t="shared" si="139"/>
        <v>IoU 50</v>
      </c>
    </row>
    <row r="394" spans="9:39" ht="15" x14ac:dyDescent="0.25">
      <c r="I394">
        <v>0.31394590338210671</v>
      </c>
      <c r="J394">
        <v>0</v>
      </c>
      <c r="K394">
        <v>0</v>
      </c>
      <c r="M394" s="11" t="str">
        <f t="shared" si="148"/>
        <v>IoU 50</v>
      </c>
      <c r="N394" s="11" t="str">
        <f t="shared" si="132"/>
        <v>IoU 25</v>
      </c>
      <c r="O394" s="11" t="str">
        <f t="shared" si="133"/>
        <v>IoU 25</v>
      </c>
      <c r="Q394">
        <v>0.78914213988174842</v>
      </c>
      <c r="R394">
        <v>0</v>
      </c>
      <c r="S394">
        <v>0</v>
      </c>
      <c r="U394" s="11" t="str">
        <f t="shared" si="147"/>
        <v>IoU 100</v>
      </c>
      <c r="V394" s="11" t="str">
        <f t="shared" si="134"/>
        <v>IoU 25</v>
      </c>
      <c r="W394" s="11" t="str">
        <f t="shared" si="135"/>
        <v>IoU 25</v>
      </c>
      <c r="Y394" s="11">
        <v>0.44211330802228688</v>
      </c>
      <c r="Z394" s="11">
        <v>0.42532581895033461</v>
      </c>
      <c r="AA394" s="11">
        <v>0.34041184041184042</v>
      </c>
      <c r="AC394" s="11" t="str">
        <f t="shared" si="145"/>
        <v>IoU 50</v>
      </c>
      <c r="AD394" s="11" t="str">
        <f t="shared" si="136"/>
        <v>IoU 50</v>
      </c>
      <c r="AE394" s="11" t="str">
        <f t="shared" si="137"/>
        <v>IoU 50</v>
      </c>
      <c r="AG394" s="11">
        <v>0.4043702316656092</v>
      </c>
      <c r="AH394" s="11">
        <v>0.29728267314117807</v>
      </c>
      <c r="AI394" s="11">
        <v>0.13521904104863747</v>
      </c>
      <c r="AK394" s="11" t="str">
        <f t="shared" si="146"/>
        <v>IoU 50</v>
      </c>
      <c r="AL394" s="11" t="str">
        <f t="shared" si="138"/>
        <v>IoU 50</v>
      </c>
      <c r="AM394" s="11" t="str">
        <f t="shared" si="139"/>
        <v>IoU 25</v>
      </c>
    </row>
    <row r="395" spans="9:39" ht="15" x14ac:dyDescent="0.25">
      <c r="I395">
        <v>0.90005710168912589</v>
      </c>
      <c r="J395">
        <v>0.78503667626007756</v>
      </c>
      <c r="K395">
        <v>0.71636245212755723</v>
      </c>
      <c r="M395" s="11" t="str">
        <f t="shared" si="148"/>
        <v>IoU 100</v>
      </c>
      <c r="N395" s="11" t="str">
        <f t="shared" si="132"/>
        <v>IoU 100</v>
      </c>
      <c r="O395" s="11" t="str">
        <f t="shared" si="133"/>
        <v>IoU 75</v>
      </c>
      <c r="Q395">
        <v>0.44340225964613089</v>
      </c>
      <c r="R395">
        <v>0.37542662116040953</v>
      </c>
      <c r="S395">
        <v>0.37383372789305108</v>
      </c>
      <c r="U395" s="11" t="str">
        <f t="shared" si="147"/>
        <v>IoU 50</v>
      </c>
      <c r="V395" s="11" t="str">
        <f t="shared" si="134"/>
        <v>IoU 50</v>
      </c>
      <c r="W395" s="11" t="str">
        <f t="shared" si="135"/>
        <v>IoU 50</v>
      </c>
      <c r="Y395" s="11">
        <v>0.42382244807607167</v>
      </c>
      <c r="Z395" s="11">
        <v>0.42661394473847747</v>
      </c>
      <c r="AA395" s="11">
        <v>0.20829180785329879</v>
      </c>
      <c r="AC395" s="11" t="str">
        <f t="shared" si="145"/>
        <v>IoU 50</v>
      </c>
      <c r="AD395" s="11" t="str">
        <f t="shared" si="136"/>
        <v>IoU 50</v>
      </c>
      <c r="AE395" s="11" t="str">
        <f t="shared" si="137"/>
        <v>IoU 25</v>
      </c>
      <c r="AG395" s="11">
        <v>0.76219069891629687</v>
      </c>
      <c r="AH395" s="11">
        <v>0.33349168646080762</v>
      </c>
      <c r="AI395" s="11">
        <v>0.32458165031736874</v>
      </c>
      <c r="AK395" s="11" t="str">
        <f t="shared" si="146"/>
        <v>IoU 100</v>
      </c>
      <c r="AL395" s="11" t="str">
        <f t="shared" si="138"/>
        <v>IoU 50</v>
      </c>
      <c r="AM395" s="11" t="str">
        <f t="shared" si="139"/>
        <v>IoU 50</v>
      </c>
    </row>
    <row r="396" spans="9:39" ht="15" x14ac:dyDescent="0.25">
      <c r="I396">
        <v>0.43397078753199819</v>
      </c>
      <c r="J396">
        <v>0.38836256131156355</v>
      </c>
      <c r="K396">
        <v>0.42290862290862291</v>
      </c>
      <c r="M396" s="11" t="str">
        <f t="shared" si="148"/>
        <v>IoU 50</v>
      </c>
      <c r="N396" s="11" t="str">
        <f t="shared" si="132"/>
        <v>IoU 50</v>
      </c>
      <c r="O396" s="11" t="str">
        <f t="shared" si="133"/>
        <v>IoU 50</v>
      </c>
      <c r="Q396">
        <v>0.70093976342801456</v>
      </c>
      <c r="R396">
        <v>0.31778153030554879</v>
      </c>
      <c r="S396">
        <v>0.30056849377979633</v>
      </c>
      <c r="U396" s="11" t="str">
        <f t="shared" si="147"/>
        <v>IoU 75</v>
      </c>
      <c r="V396" s="11" t="str">
        <f t="shared" si="134"/>
        <v>IoU 50</v>
      </c>
      <c r="W396" s="11" t="str">
        <f t="shared" si="135"/>
        <v>IoU 50</v>
      </c>
      <c r="Y396" s="11">
        <v>0.68419742871664091</v>
      </c>
      <c r="Z396" s="11">
        <v>0.4271948608137045</v>
      </c>
      <c r="AA396" s="11">
        <v>0.45483440352909116</v>
      </c>
      <c r="AC396" s="11" t="str">
        <f t="shared" si="145"/>
        <v>IoU 75</v>
      </c>
      <c r="AD396" s="11" t="str">
        <f t="shared" si="136"/>
        <v>IoU 50</v>
      </c>
      <c r="AE396" s="11" t="str">
        <f t="shared" si="137"/>
        <v>IoU 50</v>
      </c>
      <c r="AG396" s="11">
        <v>0.43311094745050471</v>
      </c>
      <c r="AH396" s="11">
        <v>0.28884152081510733</v>
      </c>
      <c r="AI396" s="11">
        <v>0.18925233644859812</v>
      </c>
      <c r="AK396" s="11" t="str">
        <f t="shared" si="146"/>
        <v>IoU 50</v>
      </c>
      <c r="AL396" s="11" t="str">
        <f t="shared" si="138"/>
        <v>IoU 50</v>
      </c>
      <c r="AM396" s="11" t="str">
        <f t="shared" si="139"/>
        <v>IoU 25</v>
      </c>
    </row>
    <row r="397" spans="9:39" ht="15" x14ac:dyDescent="0.25">
      <c r="I397">
        <v>0.42743298720115913</v>
      </c>
      <c r="J397">
        <v>0.39201183431952663</v>
      </c>
      <c r="K397">
        <v>0.33110567698842608</v>
      </c>
      <c r="M397" s="11" t="str">
        <f t="shared" si="148"/>
        <v>IoU 50</v>
      </c>
      <c r="N397" s="11" t="str">
        <f t="shared" si="132"/>
        <v>IoU 50</v>
      </c>
      <c r="O397" s="11" t="str">
        <f t="shared" si="133"/>
        <v>IoU 50</v>
      </c>
      <c r="Q397">
        <v>0.4241562339080367</v>
      </c>
      <c r="R397">
        <v>0.51037221502872632</v>
      </c>
      <c r="S397">
        <v>0.280997375328084</v>
      </c>
      <c r="U397" s="11" t="str">
        <f t="shared" si="147"/>
        <v>IoU 50</v>
      </c>
      <c r="V397" s="11" t="str">
        <f t="shared" si="134"/>
        <v>IoU 75</v>
      </c>
      <c r="W397" s="11" t="str">
        <f t="shared" si="135"/>
        <v>IoU 50</v>
      </c>
      <c r="Y397" s="11">
        <v>0.39786280964973825</v>
      </c>
      <c r="Z397" s="11">
        <v>0.52571758840955618</v>
      </c>
      <c r="AA397" s="11">
        <v>0.43065420560747664</v>
      </c>
      <c r="AC397" s="11" t="str">
        <f t="shared" si="145"/>
        <v>IoU 50</v>
      </c>
      <c r="AD397" s="11" t="str">
        <f t="shared" si="136"/>
        <v>IoU 75</v>
      </c>
      <c r="AE397" s="11" t="str">
        <f t="shared" si="137"/>
        <v>IoU 50</v>
      </c>
      <c r="AG397" s="11">
        <v>2.8792992265555428E-2</v>
      </c>
      <c r="AH397" s="11">
        <v>5.0177938991002674E-2</v>
      </c>
      <c r="AI397" s="11">
        <v>0</v>
      </c>
      <c r="AK397" s="11" t="str">
        <f t="shared" si="146"/>
        <v>IoU 25</v>
      </c>
      <c r="AL397" s="11" t="str">
        <f t="shared" si="138"/>
        <v>IoU 25</v>
      </c>
      <c r="AM397" s="11" t="str">
        <f t="shared" si="139"/>
        <v>IoU 25</v>
      </c>
    </row>
    <row r="398" spans="9:39" ht="15" x14ac:dyDescent="0.25">
      <c r="I398">
        <v>0.86194253114368347</v>
      </c>
      <c r="J398">
        <v>0.66841107888732409</v>
      </c>
      <c r="K398">
        <v>0.68389873511681865</v>
      </c>
      <c r="M398" s="11" t="str">
        <f t="shared" si="148"/>
        <v>IoU 100</v>
      </c>
      <c r="N398" s="11" t="str">
        <f t="shared" si="132"/>
        <v>IoU 75</v>
      </c>
      <c r="O398" s="11" t="str">
        <f t="shared" si="133"/>
        <v>IoU 75</v>
      </c>
      <c r="Q398">
        <v>0.39029714756096101</v>
      </c>
      <c r="R398">
        <v>0.42808384537122934</v>
      </c>
      <c r="S398">
        <v>0.23955015158286744</v>
      </c>
      <c r="U398" s="11" t="str">
        <f t="shared" si="147"/>
        <v>IoU 50</v>
      </c>
      <c r="V398" s="11" t="str">
        <f t="shared" si="134"/>
        <v>IoU 50</v>
      </c>
      <c r="W398" s="11" t="str">
        <f t="shared" si="135"/>
        <v>IoU 25</v>
      </c>
      <c r="Y398" s="11">
        <v>0.10201399972889057</v>
      </c>
      <c r="Z398" s="11">
        <v>0.3424513592313615</v>
      </c>
      <c r="AA398" s="11">
        <v>0</v>
      </c>
      <c r="AC398" s="11" t="str">
        <f t="shared" si="145"/>
        <v>IoU 25</v>
      </c>
      <c r="AD398" s="11" t="str">
        <f t="shared" si="136"/>
        <v>IoU 50</v>
      </c>
      <c r="AE398" s="11" t="str">
        <f t="shared" si="137"/>
        <v>IoU 25</v>
      </c>
      <c r="AG398" s="11">
        <v>0.83196041339235305</v>
      </c>
      <c r="AH398" s="11">
        <v>0.35205456382620409</v>
      </c>
      <c r="AI398" s="11">
        <v>0.33558863328822736</v>
      </c>
      <c r="AK398" s="11" t="str">
        <f t="shared" si="146"/>
        <v>IoU 100</v>
      </c>
      <c r="AL398" s="11" t="str">
        <f t="shared" si="138"/>
        <v>IoU 50</v>
      </c>
      <c r="AM398" s="11" t="str">
        <f t="shared" si="139"/>
        <v>IoU 50</v>
      </c>
    </row>
    <row r="399" spans="9:39" ht="15" x14ac:dyDescent="0.25">
      <c r="I399">
        <v>0.54202079055622787</v>
      </c>
      <c r="J399">
        <v>0.34171261758027893</v>
      </c>
      <c r="K399">
        <v>0.32132002199078291</v>
      </c>
      <c r="M399" s="11" t="str">
        <f t="shared" si="148"/>
        <v>IoU 75</v>
      </c>
      <c r="N399" s="11" t="str">
        <f t="shared" si="132"/>
        <v>IoU 50</v>
      </c>
      <c r="O399" s="11" t="str">
        <f t="shared" si="133"/>
        <v>IoU 50</v>
      </c>
      <c r="Q399">
        <v>0.53707997529422347</v>
      </c>
      <c r="R399">
        <v>0.47357316503930513</v>
      </c>
      <c r="S399">
        <v>0.39086069302646897</v>
      </c>
      <c r="U399" s="11" t="str">
        <f t="shared" si="147"/>
        <v>IoU 75</v>
      </c>
      <c r="V399" s="11" t="str">
        <f t="shared" si="134"/>
        <v>IoU 50</v>
      </c>
      <c r="W399" s="11" t="str">
        <f t="shared" si="135"/>
        <v>IoU 50</v>
      </c>
      <c r="Y399" s="11">
        <v>0.34070017862522511</v>
      </c>
      <c r="Z399" s="11">
        <v>7.0552548110632232E-2</v>
      </c>
      <c r="AA399" s="11">
        <v>6.1225785251750993E-2</v>
      </c>
      <c r="AC399" s="11" t="str">
        <f t="shared" si="145"/>
        <v>IoU 50</v>
      </c>
      <c r="AD399" s="11" t="str">
        <f t="shared" si="136"/>
        <v>IoU 25</v>
      </c>
      <c r="AE399" s="11" t="str">
        <f t="shared" si="137"/>
        <v>IoU 25</v>
      </c>
      <c r="AG399" s="11">
        <v>0.83940387482345957</v>
      </c>
      <c r="AH399" s="11">
        <v>0.8022350798903487</v>
      </c>
      <c r="AI399" s="11">
        <v>0.21188491337895279</v>
      </c>
      <c r="AK399" s="11" t="str">
        <f t="shared" si="146"/>
        <v>IoU 100</v>
      </c>
      <c r="AL399" s="11" t="str">
        <f t="shared" si="138"/>
        <v>IoU 100</v>
      </c>
      <c r="AM399" s="11" t="str">
        <f t="shared" si="139"/>
        <v>IoU 25</v>
      </c>
    </row>
    <row r="400" spans="9:39" ht="15" x14ac:dyDescent="0.25">
      <c r="I400">
        <v>0.92614384137038153</v>
      </c>
      <c r="J400">
        <v>0.39727251721134671</v>
      </c>
      <c r="K400">
        <v>0.28615516878460395</v>
      </c>
      <c r="M400" s="11" t="str">
        <f t="shared" si="148"/>
        <v>IoU 100</v>
      </c>
      <c r="N400" s="11" t="str">
        <f t="shared" si="132"/>
        <v>IoU 50</v>
      </c>
      <c r="O400" s="11" t="str">
        <f t="shared" si="133"/>
        <v>IoU 50</v>
      </c>
      <c r="Q400">
        <v>0.2911096662986738</v>
      </c>
      <c r="R400">
        <v>0</v>
      </c>
      <c r="S400">
        <v>0</v>
      </c>
      <c r="U400" s="11" t="str">
        <f t="shared" si="147"/>
        <v>IoU 50</v>
      </c>
      <c r="V400" s="11" t="str">
        <f t="shared" si="134"/>
        <v>IoU 25</v>
      </c>
      <c r="W400" s="11" t="str">
        <f t="shared" si="135"/>
        <v>IoU 25</v>
      </c>
      <c r="Y400" s="11">
        <v>0.61589184283405329</v>
      </c>
      <c r="Z400" s="11">
        <v>0.47296172767618511</v>
      </c>
      <c r="AA400" s="11">
        <v>0.61429686693952668</v>
      </c>
      <c r="AC400" s="11" t="str">
        <f t="shared" si="145"/>
        <v>IoU 75</v>
      </c>
      <c r="AD400" s="11" t="str">
        <f t="shared" si="136"/>
        <v>IoU 50</v>
      </c>
      <c r="AE400" s="11" t="str">
        <f t="shared" si="137"/>
        <v>IoU 75</v>
      </c>
      <c r="AG400" s="11">
        <v>0.44242824389819196</v>
      </c>
      <c r="AH400" s="11">
        <v>0.35251798561151076</v>
      </c>
      <c r="AI400" s="11">
        <v>0.1486508321215059</v>
      </c>
      <c r="AK400" s="11" t="str">
        <f t="shared" si="146"/>
        <v>IoU 50</v>
      </c>
      <c r="AL400" s="11" t="str">
        <f t="shared" si="138"/>
        <v>IoU 50</v>
      </c>
      <c r="AM400" s="11" t="str">
        <f t="shared" si="139"/>
        <v>IoU 25</v>
      </c>
    </row>
    <row r="401" spans="9:39" ht="15" x14ac:dyDescent="0.25">
      <c r="I401">
        <v>0.82656455364371717</v>
      </c>
      <c r="J401">
        <v>0.27356107935663965</v>
      </c>
      <c r="K401">
        <v>0.31061093247588423</v>
      </c>
      <c r="M401" s="11" t="str">
        <f t="shared" si="148"/>
        <v>IoU 100</v>
      </c>
      <c r="N401" s="11" t="str">
        <f t="shared" si="132"/>
        <v>IoU 50</v>
      </c>
      <c r="O401" s="11" t="str">
        <f t="shared" si="133"/>
        <v>IoU 50</v>
      </c>
      <c r="Q401">
        <v>0.38517608986226659</v>
      </c>
      <c r="R401">
        <v>0.69876703319790257</v>
      </c>
      <c r="S401">
        <v>0.41173229222252861</v>
      </c>
      <c r="U401" s="11" t="str">
        <f t="shared" si="147"/>
        <v>IoU 50</v>
      </c>
      <c r="V401" s="11" t="str">
        <f t="shared" si="134"/>
        <v>IoU 75</v>
      </c>
      <c r="W401" s="11" t="str">
        <f t="shared" si="135"/>
        <v>IoU 50</v>
      </c>
      <c r="AG401" s="11">
        <v>0.83101081694223367</v>
      </c>
      <c r="AH401" s="11">
        <v>0.35023825731790331</v>
      </c>
      <c r="AI401" s="11">
        <v>0.31025536677179771</v>
      </c>
      <c r="AK401" s="11" t="str">
        <f t="shared" si="146"/>
        <v>IoU 100</v>
      </c>
      <c r="AL401" s="11" t="str">
        <f t="shared" si="138"/>
        <v>IoU 50</v>
      </c>
      <c r="AM401" s="11" t="str">
        <f t="shared" si="139"/>
        <v>IoU 50</v>
      </c>
    </row>
    <row r="402" spans="9:39" ht="15" x14ac:dyDescent="0.25">
      <c r="I402">
        <v>0.86812336797478196</v>
      </c>
      <c r="J402">
        <v>0.40059167147680652</v>
      </c>
      <c r="K402">
        <v>0.27019686294423434</v>
      </c>
      <c r="M402" s="11" t="str">
        <f t="shared" si="148"/>
        <v>IoU 100</v>
      </c>
      <c r="N402" s="11" t="str">
        <f t="shared" si="132"/>
        <v>IoU 50</v>
      </c>
      <c r="O402" s="11" t="str">
        <f t="shared" si="133"/>
        <v>IoU 50</v>
      </c>
      <c r="Q402">
        <v>0.29187290665146182</v>
      </c>
      <c r="R402">
        <v>0.3331161846197298</v>
      </c>
      <c r="S402">
        <v>0.29493155799849291</v>
      </c>
      <c r="U402" s="11" t="str">
        <f t="shared" si="147"/>
        <v>IoU 50</v>
      </c>
      <c r="V402" s="11" t="str">
        <f t="shared" si="134"/>
        <v>IoU 50</v>
      </c>
      <c r="W402" s="11" t="str">
        <f t="shared" si="135"/>
        <v>IoU 50</v>
      </c>
      <c r="Y402" s="11">
        <v>0.7611577189195462</v>
      </c>
      <c r="Z402" s="11">
        <v>0.36136027542160093</v>
      </c>
      <c r="AA402" s="11">
        <v>0.77179802511115536</v>
      </c>
      <c r="AC402" s="11" t="str">
        <f t="shared" ref="AC402:AC414" si="149">VLOOKUP(Y402,IoU_Thresholds,2,TRUE)</f>
        <v>IoU 100</v>
      </c>
      <c r="AD402" s="11" t="str">
        <f t="shared" si="136"/>
        <v>IoU 50</v>
      </c>
      <c r="AE402" s="11" t="str">
        <f t="shared" si="137"/>
        <v>IoU 100</v>
      </c>
      <c r="AG402" s="11">
        <v>0.74869468423515662</v>
      </c>
      <c r="AH402" s="11">
        <v>0.37395118230358504</v>
      </c>
      <c r="AI402" s="11">
        <v>0.21600977696303086</v>
      </c>
      <c r="AK402" s="11" t="str">
        <f t="shared" si="146"/>
        <v>IoU 75</v>
      </c>
      <c r="AL402" s="11" t="str">
        <f t="shared" si="138"/>
        <v>IoU 50</v>
      </c>
      <c r="AM402" s="11" t="str">
        <f t="shared" si="139"/>
        <v>IoU 25</v>
      </c>
    </row>
    <row r="403" spans="9:39" ht="15" x14ac:dyDescent="0.25">
      <c r="I403">
        <v>0.88774377054925924</v>
      </c>
      <c r="J403">
        <v>0.56493578852531801</v>
      </c>
      <c r="K403">
        <v>0.24152929204577411</v>
      </c>
      <c r="M403" s="11" t="str">
        <f t="shared" si="148"/>
        <v>IoU 100</v>
      </c>
      <c r="N403" s="11" t="str">
        <f t="shared" si="132"/>
        <v>IoU 75</v>
      </c>
      <c r="O403" s="11" t="str">
        <f t="shared" si="133"/>
        <v>IoU 25</v>
      </c>
      <c r="Q403">
        <v>8.6323874546618301E-2</v>
      </c>
      <c r="R403">
        <v>0.28832157862583813</v>
      </c>
      <c r="S403">
        <v>7.7897798088907358E-2</v>
      </c>
      <c r="U403" s="11" t="str">
        <f t="shared" si="147"/>
        <v>IoU 25</v>
      </c>
      <c r="V403" s="11" t="str">
        <f t="shared" si="134"/>
        <v>IoU 50</v>
      </c>
      <c r="W403" s="11" t="str">
        <f t="shared" si="135"/>
        <v>IoU 25</v>
      </c>
      <c r="Y403" s="11">
        <v>0.72696049713562394</v>
      </c>
      <c r="Z403" s="11">
        <v>0.26671599117058298</v>
      </c>
      <c r="AA403" s="11">
        <v>0.39378661356575251</v>
      </c>
      <c r="AC403" s="11" t="str">
        <f t="shared" si="149"/>
        <v>IoU 75</v>
      </c>
      <c r="AD403" s="11" t="str">
        <f t="shared" si="136"/>
        <v>IoU 50</v>
      </c>
      <c r="AE403" s="11" t="str">
        <f t="shared" si="137"/>
        <v>IoU 50</v>
      </c>
      <c r="AG403" s="11">
        <v>0.47680210899906905</v>
      </c>
      <c r="AH403" s="11">
        <v>0.3328730683126257</v>
      </c>
      <c r="AI403" s="11">
        <v>0.25279641747812598</v>
      </c>
      <c r="AK403" s="11" t="str">
        <f t="shared" si="146"/>
        <v>IoU 50</v>
      </c>
      <c r="AL403" s="11" t="str">
        <f t="shared" si="138"/>
        <v>IoU 50</v>
      </c>
      <c r="AM403" s="11" t="str">
        <f t="shared" si="139"/>
        <v>IoU 50</v>
      </c>
    </row>
    <row r="404" spans="9:39" ht="15" x14ac:dyDescent="0.25">
      <c r="I404">
        <v>0.43724761919677596</v>
      </c>
      <c r="J404">
        <v>0.53205922198612943</v>
      </c>
      <c r="K404">
        <v>0.4616672531678308</v>
      </c>
      <c r="M404" s="11" t="str">
        <f t="shared" si="148"/>
        <v>IoU 50</v>
      </c>
      <c r="N404" s="11" t="str">
        <f t="shared" si="132"/>
        <v>IoU 75</v>
      </c>
      <c r="O404" s="11" t="str">
        <f t="shared" si="133"/>
        <v>IoU 50</v>
      </c>
      <c r="Q404">
        <v>0.61108900038336011</v>
      </c>
      <c r="R404">
        <v>0.37257591595046424</v>
      </c>
      <c r="S404">
        <v>0.48472144852513288</v>
      </c>
      <c r="U404" s="11" t="str">
        <f t="shared" si="147"/>
        <v>IoU 75</v>
      </c>
      <c r="V404" s="11" t="str">
        <f t="shared" si="134"/>
        <v>IoU 50</v>
      </c>
      <c r="W404" s="11" t="str">
        <f t="shared" si="135"/>
        <v>IoU 50</v>
      </c>
      <c r="Y404" s="11">
        <v>0.71320391727378996</v>
      </c>
      <c r="Z404" s="11">
        <v>0.35432098765432096</v>
      </c>
      <c r="AA404" s="11">
        <v>0.13419354838709677</v>
      </c>
      <c r="AC404" s="11" t="str">
        <f t="shared" si="149"/>
        <v>IoU 75</v>
      </c>
      <c r="AD404" s="11" t="str">
        <f t="shared" si="136"/>
        <v>IoU 50</v>
      </c>
      <c r="AE404" s="11" t="str">
        <f t="shared" si="137"/>
        <v>IoU 25</v>
      </c>
      <c r="AG404" s="11">
        <v>0.40425947503376652</v>
      </c>
      <c r="AH404" s="11">
        <v>0.63892098862239077</v>
      </c>
      <c r="AI404" s="11">
        <v>0.40762844722443486</v>
      </c>
      <c r="AK404" s="11" t="str">
        <f t="shared" si="146"/>
        <v>IoU 50</v>
      </c>
      <c r="AL404" s="11" t="str">
        <f t="shared" si="138"/>
        <v>IoU 75</v>
      </c>
      <c r="AM404" s="11" t="str">
        <f t="shared" si="139"/>
        <v>IoU 50</v>
      </c>
    </row>
    <row r="405" spans="9:39" ht="15" x14ac:dyDescent="0.25">
      <c r="I405">
        <v>0.8476925013060741</v>
      </c>
      <c r="J405">
        <v>0.36158452368554495</v>
      </c>
      <c r="K405">
        <v>0.33944580277098613</v>
      </c>
      <c r="M405" s="11" t="str">
        <f t="shared" si="148"/>
        <v>IoU 100</v>
      </c>
      <c r="N405" s="11" t="str">
        <f t="shared" si="132"/>
        <v>IoU 50</v>
      </c>
      <c r="O405" s="11" t="str">
        <f t="shared" si="133"/>
        <v>IoU 50</v>
      </c>
      <c r="Q405">
        <v>0.44539594629185769</v>
      </c>
      <c r="R405">
        <v>0.29567824783260543</v>
      </c>
      <c r="S405">
        <v>0.7730009781171735</v>
      </c>
      <c r="U405" s="11" t="str">
        <f t="shared" si="147"/>
        <v>IoU 50</v>
      </c>
      <c r="V405" s="11" t="str">
        <f t="shared" si="134"/>
        <v>IoU 50</v>
      </c>
      <c r="W405" s="11" t="str">
        <f t="shared" si="135"/>
        <v>IoU 100</v>
      </c>
      <c r="Y405" s="11">
        <v>0.63440523197542042</v>
      </c>
      <c r="Z405" s="11">
        <v>0.24659498207885305</v>
      </c>
      <c r="AA405" s="11">
        <v>0.27577667717244486</v>
      </c>
      <c r="AC405" s="11" t="str">
        <f t="shared" si="149"/>
        <v>IoU 75</v>
      </c>
      <c r="AD405" s="11" t="str">
        <f t="shared" si="136"/>
        <v>IoU 25</v>
      </c>
      <c r="AE405" s="11" t="str">
        <f t="shared" si="137"/>
        <v>IoU 50</v>
      </c>
      <c r="AG405" s="11">
        <v>0.7719986853251819</v>
      </c>
      <c r="AH405" s="11">
        <v>0.52446661904326808</v>
      </c>
      <c r="AI405" s="11">
        <v>0.34983913543593836</v>
      </c>
      <c r="AK405" s="11" t="str">
        <f t="shared" si="146"/>
        <v>IoU 100</v>
      </c>
      <c r="AL405" s="11" t="str">
        <f t="shared" si="138"/>
        <v>IoU 75</v>
      </c>
      <c r="AM405" s="11" t="str">
        <f t="shared" si="139"/>
        <v>IoU 50</v>
      </c>
    </row>
    <row r="406" spans="9:39" ht="15" x14ac:dyDescent="0.25">
      <c r="I406">
        <v>0.86771943522658224</v>
      </c>
      <c r="J406">
        <v>0.24581228396703003</v>
      </c>
      <c r="K406">
        <v>0.32919156967599872</v>
      </c>
      <c r="M406" s="11" t="str">
        <f t="shared" si="148"/>
        <v>IoU 100</v>
      </c>
      <c r="N406" s="11" t="str">
        <f t="shared" si="132"/>
        <v>IoU 25</v>
      </c>
      <c r="O406" s="11" t="str">
        <f t="shared" si="133"/>
        <v>IoU 50</v>
      </c>
      <c r="Q406">
        <v>0.44311973951173061</v>
      </c>
      <c r="R406">
        <v>0.49029562823725081</v>
      </c>
      <c r="S406">
        <v>0.33190276240970656</v>
      </c>
      <c r="U406" s="11" t="str">
        <f t="shared" si="147"/>
        <v>IoU 50</v>
      </c>
      <c r="V406" s="11" t="str">
        <f t="shared" si="134"/>
        <v>IoU 50</v>
      </c>
      <c r="W406" s="11" t="str">
        <f t="shared" si="135"/>
        <v>IoU 50</v>
      </c>
      <c r="Y406" s="11">
        <v>0.46079040428175477</v>
      </c>
      <c r="Z406" s="11">
        <v>0.25980890424883107</v>
      </c>
      <c r="AA406" s="11">
        <v>0.41789256303794403</v>
      </c>
      <c r="AC406" s="11" t="str">
        <f t="shared" si="149"/>
        <v>IoU 50</v>
      </c>
      <c r="AD406" s="11" t="str">
        <f t="shared" si="136"/>
        <v>IoU 50</v>
      </c>
      <c r="AE406" s="11" t="str">
        <f t="shared" si="137"/>
        <v>IoU 50</v>
      </c>
      <c r="AG406" s="11">
        <v>0.81094250350532382</v>
      </c>
      <c r="AH406" s="11">
        <v>0.23673469387755103</v>
      </c>
      <c r="AI406" s="11">
        <v>0.1617913148371532</v>
      </c>
      <c r="AK406" s="11" t="str">
        <f t="shared" si="146"/>
        <v>IoU 100</v>
      </c>
      <c r="AL406" s="11" t="str">
        <f t="shared" si="138"/>
        <v>IoU 25</v>
      </c>
      <c r="AM406" s="11" t="str">
        <f t="shared" si="139"/>
        <v>IoU 25</v>
      </c>
    </row>
    <row r="407" spans="9:39" ht="15" x14ac:dyDescent="0.25">
      <c r="I407">
        <v>0.48269169206466817</v>
      </c>
      <c r="J407">
        <v>9.2736764975270197E-2</v>
      </c>
      <c r="K407">
        <v>0</v>
      </c>
      <c r="M407" s="11" t="str">
        <f t="shared" si="148"/>
        <v>IoU 50</v>
      </c>
      <c r="N407" s="11" t="str">
        <f t="shared" si="132"/>
        <v>IoU 25</v>
      </c>
      <c r="O407" s="11" t="str">
        <f t="shared" si="133"/>
        <v>IoU 25</v>
      </c>
      <c r="Q407">
        <v>0</v>
      </c>
      <c r="R407">
        <v>0.17994660040935456</v>
      </c>
      <c r="S407">
        <v>5.7732711643196197E-2</v>
      </c>
      <c r="U407" s="11" t="str">
        <f t="shared" si="147"/>
        <v>IoU 25</v>
      </c>
      <c r="V407" s="11" t="str">
        <f t="shared" si="134"/>
        <v>IoU 25</v>
      </c>
      <c r="W407" s="11" t="str">
        <f t="shared" si="135"/>
        <v>IoU 25</v>
      </c>
      <c r="Y407" s="11">
        <v>0.44833403581097675</v>
      </c>
      <c r="Z407" s="11">
        <v>0.50948548615105871</v>
      </c>
      <c r="AA407" s="11">
        <v>0.38078952797799465</v>
      </c>
      <c r="AC407" s="11" t="str">
        <f t="shared" si="149"/>
        <v>IoU 50</v>
      </c>
      <c r="AD407" s="11" t="str">
        <f t="shared" si="136"/>
        <v>IoU 75</v>
      </c>
      <c r="AE407" s="11" t="str">
        <f t="shared" si="137"/>
        <v>IoU 50</v>
      </c>
      <c r="AG407" s="11">
        <v>0.80931456743828978</v>
      </c>
      <c r="AH407" s="11">
        <v>0.37115627632687448</v>
      </c>
      <c r="AI407" s="11">
        <v>0.37313961729270023</v>
      </c>
      <c r="AK407" s="11" t="str">
        <f t="shared" si="146"/>
        <v>IoU 100</v>
      </c>
      <c r="AL407" s="11" t="str">
        <f t="shared" si="138"/>
        <v>IoU 50</v>
      </c>
      <c r="AM407" s="11" t="str">
        <f t="shared" si="139"/>
        <v>IoU 50</v>
      </c>
    </row>
    <row r="408" spans="9:39" ht="15" x14ac:dyDescent="0.25">
      <c r="I408">
        <v>0.83646678548554509</v>
      </c>
      <c r="J408">
        <v>0.27624569100595425</v>
      </c>
      <c r="K408">
        <v>0.32462686567164178</v>
      </c>
      <c r="M408" s="11" t="str">
        <f t="shared" si="148"/>
        <v>IoU 100</v>
      </c>
      <c r="N408" s="11" t="str">
        <f t="shared" si="132"/>
        <v>IoU 50</v>
      </c>
      <c r="O408" s="11" t="str">
        <f t="shared" si="133"/>
        <v>IoU 50</v>
      </c>
      <c r="Q408">
        <v>0.36821341348863423</v>
      </c>
      <c r="R408">
        <v>0.49823835765221175</v>
      </c>
      <c r="S408">
        <v>0.49717960579655118</v>
      </c>
      <c r="U408" s="11" t="str">
        <f t="shared" si="147"/>
        <v>IoU 50</v>
      </c>
      <c r="V408" s="11" t="str">
        <f t="shared" si="134"/>
        <v>IoU 50</v>
      </c>
      <c r="W408" s="11" t="str">
        <f t="shared" si="135"/>
        <v>IoU 50</v>
      </c>
      <c r="Y408" s="11">
        <v>0.42748137570325001</v>
      </c>
      <c r="Z408" s="11">
        <v>0.3766140313342814</v>
      </c>
      <c r="AA408" s="11">
        <v>0.31550991501416431</v>
      </c>
      <c r="AC408" s="11" t="str">
        <f t="shared" si="149"/>
        <v>IoU 50</v>
      </c>
      <c r="AD408" s="11" t="str">
        <f t="shared" si="136"/>
        <v>IoU 50</v>
      </c>
      <c r="AE408" s="11" t="str">
        <f t="shared" si="137"/>
        <v>IoU 50</v>
      </c>
      <c r="AG408" s="11">
        <v>0.79761281416158913</v>
      </c>
      <c r="AH408" s="11">
        <v>0.29005489699119275</v>
      </c>
      <c r="AI408" s="11">
        <v>0.28426102820991228</v>
      </c>
      <c r="AK408" s="11" t="str">
        <f t="shared" si="146"/>
        <v>IoU 100</v>
      </c>
      <c r="AL408" s="11" t="str">
        <f t="shared" si="138"/>
        <v>IoU 50</v>
      </c>
      <c r="AM408" s="11" t="str">
        <f t="shared" si="139"/>
        <v>IoU 50</v>
      </c>
    </row>
    <row r="409" spans="9:39" ht="15" x14ac:dyDescent="0.25">
      <c r="I409">
        <v>0.70263715797491066</v>
      </c>
      <c r="J409">
        <v>0.48663028121906604</v>
      </c>
      <c r="K409">
        <v>0.54019293868101836</v>
      </c>
      <c r="M409" s="11" t="str">
        <f t="shared" si="148"/>
        <v>IoU 75</v>
      </c>
      <c r="N409" s="11" t="str">
        <f t="shared" si="132"/>
        <v>IoU 50</v>
      </c>
      <c r="O409" s="11" t="str">
        <f t="shared" si="133"/>
        <v>IoU 75</v>
      </c>
      <c r="Q409">
        <v>0.41592399358492865</v>
      </c>
      <c r="R409">
        <v>0.62765054399434783</v>
      </c>
      <c r="S409">
        <v>0.49242429899365425</v>
      </c>
      <c r="U409" s="11" t="str">
        <f t="shared" si="147"/>
        <v>IoU 50</v>
      </c>
      <c r="V409" s="11" t="str">
        <f t="shared" si="134"/>
        <v>IoU 75</v>
      </c>
      <c r="W409" s="11" t="str">
        <f t="shared" si="135"/>
        <v>IoU 50</v>
      </c>
      <c r="Y409" s="11">
        <v>0.41504626158053487</v>
      </c>
      <c r="Z409" s="11">
        <v>0.46180994869734604</v>
      </c>
      <c r="AA409" s="11">
        <v>0.33800827671827205</v>
      </c>
      <c r="AC409" s="11" t="str">
        <f t="shared" si="149"/>
        <v>IoU 50</v>
      </c>
      <c r="AD409" s="11" t="str">
        <f t="shared" si="136"/>
        <v>IoU 50</v>
      </c>
      <c r="AE409" s="11" t="str">
        <f t="shared" si="137"/>
        <v>IoU 50</v>
      </c>
      <c r="AG409" s="11">
        <v>0.95006744603660209</v>
      </c>
      <c r="AH409" s="11">
        <v>0.40900435748045749</v>
      </c>
      <c r="AI409" s="11">
        <v>0.24246877296105804</v>
      </c>
      <c r="AK409" s="11" t="str">
        <f t="shared" si="146"/>
        <v>IoU 100</v>
      </c>
      <c r="AL409" s="11" t="str">
        <f t="shared" si="138"/>
        <v>IoU 50</v>
      </c>
      <c r="AM409" s="11" t="str">
        <f t="shared" si="139"/>
        <v>IoU 25</v>
      </c>
    </row>
    <row r="410" spans="9:39" ht="15" x14ac:dyDescent="0.25">
      <c r="I410">
        <v>0.39697985485078269</v>
      </c>
      <c r="J410">
        <v>0.5067375088741386</v>
      </c>
      <c r="K410">
        <v>0.3214417744916821</v>
      </c>
      <c r="M410" s="11" t="str">
        <f t="shared" si="148"/>
        <v>IoU 50</v>
      </c>
      <c r="N410" s="11" t="str">
        <f t="shared" si="132"/>
        <v>IoU 75</v>
      </c>
      <c r="O410" s="11" t="str">
        <f t="shared" si="133"/>
        <v>IoU 50</v>
      </c>
      <c r="Q410">
        <v>0.42337296950155984</v>
      </c>
      <c r="R410">
        <v>0.32864674868189808</v>
      </c>
      <c r="S410">
        <v>0.35174385968188443</v>
      </c>
      <c r="U410" s="11" t="str">
        <f t="shared" si="147"/>
        <v>IoU 50</v>
      </c>
      <c r="V410" s="11" t="str">
        <f t="shared" si="134"/>
        <v>IoU 50</v>
      </c>
      <c r="W410" s="11" t="str">
        <f t="shared" si="135"/>
        <v>IoU 50</v>
      </c>
      <c r="Y410" s="11">
        <v>0.81208753526954336</v>
      </c>
      <c r="Z410" s="11">
        <v>0.3970198253303962</v>
      </c>
      <c r="AA410" s="11">
        <v>0.3427519649786091</v>
      </c>
      <c r="AC410" s="11" t="str">
        <f t="shared" si="149"/>
        <v>IoU 100</v>
      </c>
      <c r="AD410" s="11" t="str">
        <f t="shared" si="136"/>
        <v>IoU 50</v>
      </c>
      <c r="AE410" s="11" t="str">
        <f t="shared" si="137"/>
        <v>IoU 50</v>
      </c>
      <c r="AG410" s="11">
        <v>0.47279807106036253</v>
      </c>
      <c r="AH410" s="11">
        <v>0.2873745377707343</v>
      </c>
      <c r="AI410" s="11">
        <v>0.39900003865312439</v>
      </c>
      <c r="AK410" s="11" t="str">
        <f t="shared" si="146"/>
        <v>IoU 50</v>
      </c>
      <c r="AL410" s="11" t="str">
        <f t="shared" si="138"/>
        <v>IoU 50</v>
      </c>
      <c r="AM410" s="11" t="str">
        <f t="shared" si="139"/>
        <v>IoU 50</v>
      </c>
    </row>
    <row r="411" spans="9:39" ht="15" x14ac:dyDescent="0.25">
      <c r="I411">
        <v>0.5108429004981585</v>
      </c>
      <c r="J411">
        <v>0</v>
      </c>
      <c r="K411">
        <v>0.43577401354568945</v>
      </c>
      <c r="M411" s="11" t="str">
        <f t="shared" si="148"/>
        <v>IoU 75</v>
      </c>
      <c r="N411" s="11" t="str">
        <f t="shared" ref="N411:N427" si="150">VLOOKUP(J411,IoU_Thresholds,2,TRUE)</f>
        <v>IoU 25</v>
      </c>
      <c r="O411" s="11" t="str">
        <f t="shared" ref="O411:O427" si="151">VLOOKUP(K411,IoU_Thresholds,2,TRUE)</f>
        <v>IoU 50</v>
      </c>
      <c r="Q411">
        <v>0.44742069554297154</v>
      </c>
      <c r="R411">
        <v>0.67172980877997057</v>
      </c>
      <c r="S411">
        <v>0.43558558180348794</v>
      </c>
      <c r="U411" s="11" t="str">
        <f t="shared" si="147"/>
        <v>IoU 50</v>
      </c>
      <c r="V411" s="11" t="str">
        <f t="shared" ref="V411:V427" si="152">VLOOKUP(R411,IoU_Thresholds,2,TRUE)</f>
        <v>IoU 75</v>
      </c>
      <c r="W411" s="11" t="str">
        <f t="shared" ref="W411:W427" si="153">VLOOKUP(S411,IoU_Thresholds,2,TRUE)</f>
        <v>IoU 50</v>
      </c>
      <c r="Y411" s="11">
        <v>0.67724538970737069</v>
      </c>
      <c r="Z411" s="11">
        <v>3.440941195627837E-2</v>
      </c>
      <c r="AA411" s="11">
        <v>0.12907184411595973</v>
      </c>
      <c r="AC411" s="11" t="str">
        <f t="shared" si="149"/>
        <v>IoU 75</v>
      </c>
      <c r="AD411" s="11" t="str">
        <f t="shared" ref="AD411:AD427" si="154">VLOOKUP(Z411,IoU_Thresholds,2,TRUE)</f>
        <v>IoU 25</v>
      </c>
      <c r="AE411" s="11" t="str">
        <f t="shared" ref="AE411:AE427" si="155">VLOOKUP(AA411,IoU_Thresholds,2,TRUE)</f>
        <v>IoU 25</v>
      </c>
      <c r="AG411" s="11">
        <v>0.4328608443834781</v>
      </c>
      <c r="AH411" s="11">
        <v>0.80458351751872947</v>
      </c>
      <c r="AI411" s="11">
        <v>0.41144238629195184</v>
      </c>
      <c r="AK411" s="11" t="str">
        <f t="shared" si="146"/>
        <v>IoU 50</v>
      </c>
      <c r="AL411" s="11" t="str">
        <f t="shared" ref="AL411:AL427" si="156">VLOOKUP(AH411,IoU_Thresholds,2,TRUE)</f>
        <v>IoU 100</v>
      </c>
      <c r="AM411" s="11" t="str">
        <f t="shared" ref="AM411:AM427" si="157">VLOOKUP(AI411,IoU_Thresholds,2,TRUE)</f>
        <v>IoU 50</v>
      </c>
    </row>
    <row r="412" spans="9:39" ht="15" x14ac:dyDescent="0.25">
      <c r="I412">
        <v>0.7924690194640519</v>
      </c>
      <c r="J412">
        <v>0.5291551669647625</v>
      </c>
      <c r="K412">
        <v>0.30023828435266087</v>
      </c>
      <c r="M412" s="11" t="str">
        <f t="shared" si="148"/>
        <v>IoU 100</v>
      </c>
      <c r="N412" s="11" t="str">
        <f t="shared" si="150"/>
        <v>IoU 75</v>
      </c>
      <c r="O412" s="11" t="str">
        <f t="shared" si="151"/>
        <v>IoU 50</v>
      </c>
      <c r="Q412">
        <v>0.45450160490598207</v>
      </c>
      <c r="R412">
        <v>0.49283402264888176</v>
      </c>
      <c r="S412">
        <v>0.27199989071027481</v>
      </c>
      <c r="U412" s="11" t="str">
        <f t="shared" si="147"/>
        <v>IoU 50</v>
      </c>
      <c r="V412" s="11" t="str">
        <f t="shared" si="152"/>
        <v>IoU 50</v>
      </c>
      <c r="W412" s="11" t="str">
        <f t="shared" si="153"/>
        <v>IoU 50</v>
      </c>
      <c r="Y412" s="11">
        <v>0.14729896368956377</v>
      </c>
      <c r="Z412" s="11">
        <v>0.38677223925901405</v>
      </c>
      <c r="AA412" s="11">
        <v>0</v>
      </c>
      <c r="AC412" s="11" t="str">
        <f t="shared" si="149"/>
        <v>IoU 25</v>
      </c>
      <c r="AD412" s="11" t="str">
        <f t="shared" si="154"/>
        <v>IoU 50</v>
      </c>
      <c r="AE412" s="11" t="str">
        <f t="shared" si="155"/>
        <v>IoU 25</v>
      </c>
      <c r="AG412" s="11">
        <v>0.84630296308020392</v>
      </c>
      <c r="AH412" s="11">
        <v>0.35384048380807043</v>
      </c>
      <c r="AI412" s="11">
        <v>0.29356047565600657</v>
      </c>
      <c r="AK412" s="11" t="str">
        <f t="shared" si="146"/>
        <v>IoU 100</v>
      </c>
      <c r="AL412" s="11" t="str">
        <f t="shared" si="156"/>
        <v>IoU 50</v>
      </c>
      <c r="AM412" s="11" t="str">
        <f t="shared" si="157"/>
        <v>IoU 50</v>
      </c>
    </row>
    <row r="413" spans="9:39" ht="15" x14ac:dyDescent="0.25">
      <c r="I413">
        <v>0.86326482880687461</v>
      </c>
      <c r="J413">
        <v>0.35502514726532497</v>
      </c>
      <c r="K413">
        <v>0.32575757575757575</v>
      </c>
      <c r="M413" s="11" t="str">
        <f t="shared" si="148"/>
        <v>IoU 100</v>
      </c>
      <c r="N413" s="11" t="str">
        <f t="shared" si="150"/>
        <v>IoU 50</v>
      </c>
      <c r="O413" s="11" t="str">
        <f t="shared" si="151"/>
        <v>IoU 50</v>
      </c>
      <c r="Q413">
        <v>0.46976334403334258</v>
      </c>
      <c r="R413">
        <v>0.52791107250205382</v>
      </c>
      <c r="S413">
        <v>0.59008798299244702</v>
      </c>
      <c r="U413" s="11" t="str">
        <f t="shared" si="147"/>
        <v>IoU 50</v>
      </c>
      <c r="V413" s="11" t="str">
        <f t="shared" si="152"/>
        <v>IoU 75</v>
      </c>
      <c r="W413" s="11" t="str">
        <f t="shared" si="153"/>
        <v>IoU 75</v>
      </c>
      <c r="Y413" s="11">
        <v>0.37893718248528346</v>
      </c>
      <c r="Z413" s="11">
        <v>0.38595710975690728</v>
      </c>
      <c r="AA413" s="11">
        <v>0</v>
      </c>
      <c r="AC413" s="11" t="str">
        <f t="shared" si="149"/>
        <v>IoU 50</v>
      </c>
      <c r="AD413" s="11" t="str">
        <f t="shared" si="154"/>
        <v>IoU 50</v>
      </c>
      <c r="AE413" s="11" t="str">
        <f t="shared" si="155"/>
        <v>IoU 25</v>
      </c>
      <c r="AG413" s="11">
        <v>0.35917716590500848</v>
      </c>
      <c r="AH413" s="11">
        <v>0</v>
      </c>
      <c r="AI413" s="11">
        <v>9.2246870195475505E-2</v>
      </c>
      <c r="AK413" s="11" t="str">
        <f t="shared" si="146"/>
        <v>IoU 50</v>
      </c>
      <c r="AL413" s="11" t="str">
        <f t="shared" si="156"/>
        <v>IoU 25</v>
      </c>
      <c r="AM413" s="11" t="str">
        <f t="shared" si="157"/>
        <v>IoU 25</v>
      </c>
    </row>
    <row r="414" spans="9:39" ht="15" x14ac:dyDescent="0.25">
      <c r="I414">
        <v>0.88873888887288133</v>
      </c>
      <c r="J414">
        <v>0.28603737197415346</v>
      </c>
      <c r="K414">
        <v>0.34463818375204985</v>
      </c>
      <c r="M414" s="11" t="str">
        <f t="shared" si="148"/>
        <v>IoU 100</v>
      </c>
      <c r="N414" s="11" t="str">
        <f t="shared" si="150"/>
        <v>IoU 50</v>
      </c>
      <c r="O414" s="11" t="str">
        <f t="shared" si="151"/>
        <v>IoU 50</v>
      </c>
      <c r="Q414">
        <v>0.36151141484672905</v>
      </c>
      <c r="R414">
        <v>0.84486427145148102</v>
      </c>
      <c r="S414">
        <v>0.39975223457514086</v>
      </c>
      <c r="U414" s="11" t="str">
        <f t="shared" si="147"/>
        <v>IoU 50</v>
      </c>
      <c r="V414" s="11" t="str">
        <f t="shared" si="152"/>
        <v>IoU 100</v>
      </c>
      <c r="W414" s="11" t="str">
        <f t="shared" si="153"/>
        <v>IoU 50</v>
      </c>
      <c r="Y414" s="11">
        <v>0.43922541764523421</v>
      </c>
      <c r="Z414" s="11">
        <v>0.46272084277265624</v>
      </c>
      <c r="AA414" s="11">
        <v>0.37577002053388092</v>
      </c>
      <c r="AC414" s="11" t="str">
        <f t="shared" si="149"/>
        <v>IoU 50</v>
      </c>
      <c r="AD414" s="11" t="str">
        <f t="shared" si="154"/>
        <v>IoU 50</v>
      </c>
      <c r="AE414" s="11" t="str">
        <f t="shared" si="155"/>
        <v>IoU 50</v>
      </c>
      <c r="AG414" s="11">
        <v>0</v>
      </c>
      <c r="AH414" s="11">
        <v>0.35977735244338716</v>
      </c>
      <c r="AI414" s="11">
        <v>0</v>
      </c>
      <c r="AK414" s="11" t="str">
        <f t="shared" si="146"/>
        <v>IoU 25</v>
      </c>
      <c r="AL414" s="11" t="str">
        <f t="shared" si="156"/>
        <v>IoU 50</v>
      </c>
      <c r="AM414" s="11" t="str">
        <f t="shared" si="157"/>
        <v>IoU 25</v>
      </c>
    </row>
    <row r="415" spans="9:39" ht="15" x14ac:dyDescent="0.25">
      <c r="I415">
        <v>0.4506851472672862</v>
      </c>
      <c r="J415">
        <v>0.37742371862317753</v>
      </c>
      <c r="K415">
        <v>0.28129077587072165</v>
      </c>
      <c r="M415" s="11" t="str">
        <f t="shared" si="148"/>
        <v>IoU 50</v>
      </c>
      <c r="N415" s="11" t="str">
        <f t="shared" si="150"/>
        <v>IoU 50</v>
      </c>
      <c r="O415" s="11" t="str">
        <f t="shared" si="151"/>
        <v>IoU 50</v>
      </c>
      <c r="Q415"/>
      <c r="R415"/>
      <c r="S415"/>
    </row>
    <row r="416" spans="9:39" ht="15" x14ac:dyDescent="0.25">
      <c r="I416">
        <v>0.51209664090933438</v>
      </c>
      <c r="J416">
        <v>0.32944107369815284</v>
      </c>
      <c r="K416">
        <v>0.3816908379413706</v>
      </c>
      <c r="M416" s="11" t="str">
        <f t="shared" si="148"/>
        <v>IoU 75</v>
      </c>
      <c r="N416" s="11" t="str">
        <f t="shared" si="150"/>
        <v>IoU 50</v>
      </c>
      <c r="O416" s="11" t="str">
        <f t="shared" si="151"/>
        <v>IoU 50</v>
      </c>
      <c r="Q416">
        <v>0.47187687965680303</v>
      </c>
      <c r="R416">
        <v>0.72701454722668246</v>
      </c>
      <c r="S416">
        <v>0.42686582145856594</v>
      </c>
      <c r="U416" s="11" t="str">
        <f t="shared" ref="U416:U427" si="158">VLOOKUP(Q416,IoU_Thresholds,2,TRUE)</f>
        <v>IoU 50</v>
      </c>
      <c r="V416" s="11" t="str">
        <f t="shared" si="152"/>
        <v>IoU 75</v>
      </c>
      <c r="W416" s="11" t="str">
        <f t="shared" si="153"/>
        <v>IoU 50</v>
      </c>
      <c r="Y416" s="11">
        <v>0.38568617943292349</v>
      </c>
      <c r="Z416" s="11">
        <v>0</v>
      </c>
      <c r="AA416" s="11">
        <v>1.5091313441727257E-2</v>
      </c>
      <c r="AC416" s="11" t="str">
        <f t="shared" ref="AC416:AC427" si="159">VLOOKUP(Y416,IoU_Thresholds,2,TRUE)</f>
        <v>IoU 50</v>
      </c>
      <c r="AD416" s="11" t="str">
        <f t="shared" si="154"/>
        <v>IoU 25</v>
      </c>
      <c r="AE416" s="11" t="str">
        <f t="shared" si="155"/>
        <v>IoU 25</v>
      </c>
      <c r="AG416" s="11">
        <v>0.67567024213637417</v>
      </c>
      <c r="AH416" s="11">
        <v>0.34369198169231635</v>
      </c>
      <c r="AI416" s="11">
        <v>0.43611885866316019</v>
      </c>
      <c r="AK416" s="11" t="str">
        <f t="shared" ref="AK416:AK427" si="160">VLOOKUP(AG416,IoU_Thresholds,2,TRUE)</f>
        <v>IoU 75</v>
      </c>
      <c r="AL416" s="11" t="str">
        <f t="shared" si="156"/>
        <v>IoU 50</v>
      </c>
      <c r="AM416" s="11" t="str">
        <f t="shared" si="157"/>
        <v>IoU 50</v>
      </c>
    </row>
    <row r="417" spans="9:39" ht="15" x14ac:dyDescent="0.25">
      <c r="I417">
        <v>0.75719140049381628</v>
      </c>
      <c r="J417">
        <v>0.30141129032258063</v>
      </c>
      <c r="K417">
        <v>0.37249666221628841</v>
      </c>
      <c r="M417" s="11" t="str">
        <f t="shared" si="148"/>
        <v>IoU 100</v>
      </c>
      <c r="N417" s="11" t="str">
        <f t="shared" si="150"/>
        <v>IoU 50</v>
      </c>
      <c r="O417" s="11" t="str">
        <f t="shared" si="151"/>
        <v>IoU 50</v>
      </c>
      <c r="Q417">
        <v>0.38474753510606513</v>
      </c>
      <c r="R417">
        <v>0.49711381162265827</v>
      </c>
      <c r="S417">
        <v>0.3659443725743855</v>
      </c>
      <c r="U417" s="11" t="str">
        <f t="shared" si="158"/>
        <v>IoU 50</v>
      </c>
      <c r="V417" s="11" t="str">
        <f t="shared" si="152"/>
        <v>IoU 50</v>
      </c>
      <c r="W417" s="11" t="str">
        <f t="shared" si="153"/>
        <v>IoU 50</v>
      </c>
      <c r="Y417" s="11">
        <v>0.71300589328226671</v>
      </c>
      <c r="Z417" s="11">
        <v>0.54009225730409582</v>
      </c>
      <c r="AA417" s="11">
        <v>0.29567875503682089</v>
      </c>
      <c r="AC417" s="11" t="str">
        <f t="shared" si="159"/>
        <v>IoU 75</v>
      </c>
      <c r="AD417" s="11" t="str">
        <f t="shared" si="154"/>
        <v>IoU 75</v>
      </c>
      <c r="AE417" s="11" t="str">
        <f t="shared" si="155"/>
        <v>IoU 50</v>
      </c>
      <c r="AG417" s="11">
        <v>0.8117058854574557</v>
      </c>
      <c r="AH417" s="11">
        <v>0.25917099942229926</v>
      </c>
      <c r="AI417" s="11">
        <v>0.1582663744825907</v>
      </c>
      <c r="AK417" s="11" t="str">
        <f t="shared" si="160"/>
        <v>IoU 100</v>
      </c>
      <c r="AL417" s="11" t="str">
        <f t="shared" si="156"/>
        <v>IoU 50</v>
      </c>
      <c r="AM417" s="11" t="str">
        <f t="shared" si="157"/>
        <v>IoU 25</v>
      </c>
    </row>
    <row r="418" spans="9:39" ht="15" x14ac:dyDescent="0.25">
      <c r="I418">
        <v>0.87726747573454866</v>
      </c>
      <c r="J418">
        <v>0.341998844598498</v>
      </c>
      <c r="K418">
        <v>0.37714582972082539</v>
      </c>
      <c r="M418" s="11" t="str">
        <f t="shared" si="148"/>
        <v>IoU 100</v>
      </c>
      <c r="N418" s="11" t="str">
        <f t="shared" si="150"/>
        <v>IoU 50</v>
      </c>
      <c r="O418" s="11" t="str">
        <f t="shared" si="151"/>
        <v>IoU 50</v>
      </c>
      <c r="Q418">
        <v>0</v>
      </c>
      <c r="R418">
        <v>0.3727092438066999</v>
      </c>
      <c r="S418">
        <v>0.15647541709173246</v>
      </c>
      <c r="U418" s="11" t="str">
        <f t="shared" si="158"/>
        <v>IoU 25</v>
      </c>
      <c r="V418" s="11" t="str">
        <f t="shared" si="152"/>
        <v>IoU 50</v>
      </c>
      <c r="W418" s="11" t="str">
        <f t="shared" si="153"/>
        <v>IoU 25</v>
      </c>
      <c r="Y418" s="11">
        <v>0.80599173837276261</v>
      </c>
      <c r="Z418" s="11">
        <v>0.33771945359878996</v>
      </c>
      <c r="AA418" s="11">
        <v>0.41417183276594088</v>
      </c>
      <c r="AC418" s="11" t="str">
        <f t="shared" si="159"/>
        <v>IoU 100</v>
      </c>
      <c r="AD418" s="11" t="str">
        <f t="shared" si="154"/>
        <v>IoU 50</v>
      </c>
      <c r="AE418" s="11" t="str">
        <f t="shared" si="155"/>
        <v>IoU 50</v>
      </c>
      <c r="AG418" s="11">
        <v>0.84575351857454162</v>
      </c>
      <c r="AH418" s="11">
        <v>0.45193186814480657</v>
      </c>
      <c r="AI418" s="11">
        <v>0.37829198195289737</v>
      </c>
      <c r="AK418" s="11" t="str">
        <f t="shared" si="160"/>
        <v>IoU 100</v>
      </c>
      <c r="AL418" s="11" t="str">
        <f t="shared" si="156"/>
        <v>IoU 50</v>
      </c>
      <c r="AM418" s="11" t="str">
        <f t="shared" si="157"/>
        <v>IoU 50</v>
      </c>
    </row>
    <row r="419" spans="9:39" ht="15" x14ac:dyDescent="0.25">
      <c r="I419">
        <v>0.86821776122695216</v>
      </c>
      <c r="J419">
        <v>0.30276648783886662</v>
      </c>
      <c r="K419">
        <v>0.28580971730026439</v>
      </c>
      <c r="M419" s="11" t="str">
        <f t="shared" si="148"/>
        <v>IoU 100</v>
      </c>
      <c r="N419" s="11" t="str">
        <f t="shared" si="150"/>
        <v>IoU 50</v>
      </c>
      <c r="O419" s="11" t="str">
        <f t="shared" si="151"/>
        <v>IoU 50</v>
      </c>
      <c r="Q419">
        <v>0.20618708226457583</v>
      </c>
      <c r="R419">
        <v>0</v>
      </c>
      <c r="S419">
        <v>6.2295720278872133E-2</v>
      </c>
      <c r="U419" s="11" t="str">
        <f t="shared" si="158"/>
        <v>IoU 25</v>
      </c>
      <c r="V419" s="11" t="str">
        <f t="shared" si="152"/>
        <v>IoU 25</v>
      </c>
      <c r="W419" s="11" t="str">
        <f t="shared" si="153"/>
        <v>IoU 25</v>
      </c>
      <c r="Y419" s="11">
        <v>0.40314401758256441</v>
      </c>
      <c r="Z419" s="11">
        <v>0.2990496520127105</v>
      </c>
      <c r="AA419" s="11">
        <v>0.23130620339166433</v>
      </c>
      <c r="AC419" s="11" t="str">
        <f t="shared" si="159"/>
        <v>IoU 50</v>
      </c>
      <c r="AD419" s="11" t="str">
        <f t="shared" si="154"/>
        <v>IoU 50</v>
      </c>
      <c r="AE419" s="11" t="str">
        <f t="shared" si="155"/>
        <v>IoU 25</v>
      </c>
      <c r="AG419" s="11">
        <v>0.84206618279724021</v>
      </c>
      <c r="AH419" s="11">
        <v>0.68517893561458454</v>
      </c>
      <c r="AI419" s="11">
        <v>0.25008468717406834</v>
      </c>
      <c r="AK419" s="11" t="str">
        <f t="shared" si="160"/>
        <v>IoU 100</v>
      </c>
      <c r="AL419" s="11" t="str">
        <f t="shared" si="156"/>
        <v>IoU 75</v>
      </c>
      <c r="AM419" s="11" t="str">
        <f t="shared" si="157"/>
        <v>IoU 50</v>
      </c>
    </row>
    <row r="420" spans="9:39" ht="15" x14ac:dyDescent="0.25">
      <c r="I420">
        <v>0.83656875763304406</v>
      </c>
      <c r="J420">
        <v>0.67934812336038319</v>
      </c>
      <c r="K420">
        <v>0.83766527923827483</v>
      </c>
      <c r="M420" s="11" t="str">
        <f t="shared" si="148"/>
        <v>IoU 100</v>
      </c>
      <c r="N420" s="11" t="str">
        <f t="shared" si="150"/>
        <v>IoU 75</v>
      </c>
      <c r="O420" s="11" t="str">
        <f t="shared" si="151"/>
        <v>IoU 100</v>
      </c>
      <c r="Q420">
        <v>0.84652007060385326</v>
      </c>
      <c r="R420">
        <v>0.3802570537683474</v>
      </c>
      <c r="S420">
        <v>0.40049373338397265</v>
      </c>
      <c r="U420" s="11" t="str">
        <f t="shared" si="158"/>
        <v>IoU 100</v>
      </c>
      <c r="V420" s="11" t="str">
        <f t="shared" si="152"/>
        <v>IoU 50</v>
      </c>
      <c r="W420" s="11" t="str">
        <f t="shared" si="153"/>
        <v>IoU 50</v>
      </c>
      <c r="Y420" s="11">
        <v>0.44204815322533936</v>
      </c>
      <c r="Z420" s="11">
        <v>0.32393231265108785</v>
      </c>
      <c r="AA420" s="11">
        <v>0.43052195578110236</v>
      </c>
      <c r="AC420" s="11" t="str">
        <f t="shared" si="159"/>
        <v>IoU 50</v>
      </c>
      <c r="AD420" s="11" t="str">
        <f t="shared" si="154"/>
        <v>IoU 50</v>
      </c>
      <c r="AE420" s="11" t="str">
        <f t="shared" si="155"/>
        <v>IoU 50</v>
      </c>
      <c r="AG420" s="11">
        <v>0.45753854193885551</v>
      </c>
      <c r="AH420" s="11">
        <v>0.3217416609142395</v>
      </c>
      <c r="AI420" s="11">
        <v>0.33032046014790467</v>
      </c>
      <c r="AK420" s="11" t="str">
        <f t="shared" si="160"/>
        <v>IoU 50</v>
      </c>
      <c r="AL420" s="11" t="str">
        <f t="shared" si="156"/>
        <v>IoU 50</v>
      </c>
      <c r="AM420" s="11" t="str">
        <f t="shared" si="157"/>
        <v>IoU 50</v>
      </c>
    </row>
    <row r="421" spans="9:39" ht="15" x14ac:dyDescent="0.25">
      <c r="I421">
        <v>0.83940976732071404</v>
      </c>
      <c r="J421">
        <v>0.28908716540837337</v>
      </c>
      <c r="K421">
        <v>0.30211582802115827</v>
      </c>
      <c r="M421" s="11" t="str">
        <f t="shared" si="148"/>
        <v>IoU 100</v>
      </c>
      <c r="N421" s="11" t="str">
        <f t="shared" si="150"/>
        <v>IoU 50</v>
      </c>
      <c r="O421" s="11" t="str">
        <f t="shared" si="151"/>
        <v>IoU 50</v>
      </c>
      <c r="Q421">
        <v>0.39272293133876046</v>
      </c>
      <c r="R421">
        <v>0.30482432171779855</v>
      </c>
      <c r="S421">
        <v>0.26979699421439113</v>
      </c>
      <c r="U421" s="11" t="str">
        <f t="shared" si="158"/>
        <v>IoU 50</v>
      </c>
      <c r="V421" s="11" t="str">
        <f t="shared" si="152"/>
        <v>IoU 50</v>
      </c>
      <c r="W421" s="11" t="str">
        <f t="shared" si="153"/>
        <v>IoU 50</v>
      </c>
      <c r="Y421" s="11">
        <v>0.78829512883612485</v>
      </c>
      <c r="Z421" s="11">
        <v>0.33337685013455715</v>
      </c>
      <c r="AA421" s="11">
        <v>0.31048536202110028</v>
      </c>
      <c r="AC421" s="11" t="str">
        <f t="shared" si="159"/>
        <v>IoU 100</v>
      </c>
      <c r="AD421" s="11" t="str">
        <f t="shared" si="154"/>
        <v>IoU 50</v>
      </c>
      <c r="AE421" s="11" t="str">
        <f t="shared" si="155"/>
        <v>IoU 50</v>
      </c>
      <c r="AG421" s="11">
        <v>0.44913204043650401</v>
      </c>
      <c r="AH421" s="11">
        <v>0.36456416041308592</v>
      </c>
      <c r="AI421" s="11">
        <v>0.41473552617745435</v>
      </c>
      <c r="AK421" s="11" t="str">
        <f t="shared" si="160"/>
        <v>IoU 50</v>
      </c>
      <c r="AL421" s="11" t="str">
        <f t="shared" si="156"/>
        <v>IoU 50</v>
      </c>
      <c r="AM421" s="11" t="str">
        <f t="shared" si="157"/>
        <v>IoU 50</v>
      </c>
    </row>
    <row r="422" spans="9:39" ht="15" x14ac:dyDescent="0.25">
      <c r="I422">
        <v>0.75157770449290795</v>
      </c>
      <c r="J422">
        <v>0.33949087632349628</v>
      </c>
      <c r="K422">
        <v>0.3983810293239255</v>
      </c>
      <c r="M422" s="11" t="str">
        <f t="shared" si="148"/>
        <v>IoU 100</v>
      </c>
      <c r="N422" s="11" t="str">
        <f t="shared" si="150"/>
        <v>IoU 50</v>
      </c>
      <c r="O422" s="11" t="str">
        <f t="shared" si="151"/>
        <v>IoU 50</v>
      </c>
      <c r="Q422">
        <v>0.53249360366900378</v>
      </c>
      <c r="R422">
        <v>0.37981611603279208</v>
      </c>
      <c r="S422">
        <v>0.45040656205861057</v>
      </c>
      <c r="U422" s="11" t="str">
        <f t="shared" si="158"/>
        <v>IoU 75</v>
      </c>
      <c r="V422" s="11" t="str">
        <f t="shared" si="152"/>
        <v>IoU 50</v>
      </c>
      <c r="W422" s="11" t="str">
        <f t="shared" si="153"/>
        <v>IoU 50</v>
      </c>
      <c r="Y422" s="11">
        <v>0.40182498465100036</v>
      </c>
      <c r="Z422" s="11">
        <v>0.49351367325899109</v>
      </c>
      <c r="AA422" s="11">
        <v>0.27014785247518186</v>
      </c>
      <c r="AC422" s="11" t="str">
        <f t="shared" si="159"/>
        <v>IoU 50</v>
      </c>
      <c r="AD422" s="11" t="str">
        <f t="shared" si="154"/>
        <v>IoU 50</v>
      </c>
      <c r="AE422" s="11" t="str">
        <f t="shared" si="155"/>
        <v>IoU 50</v>
      </c>
      <c r="AG422" s="11">
        <v>0.40657385705814247</v>
      </c>
      <c r="AH422" s="11">
        <v>0.37931034482758619</v>
      </c>
      <c r="AI422" s="11">
        <v>0.43720337232752388</v>
      </c>
      <c r="AK422" s="11" t="str">
        <f t="shared" si="160"/>
        <v>IoU 50</v>
      </c>
      <c r="AL422" s="11" t="str">
        <f t="shared" si="156"/>
        <v>IoU 50</v>
      </c>
      <c r="AM422" s="11" t="str">
        <f t="shared" si="157"/>
        <v>IoU 50</v>
      </c>
    </row>
    <row r="423" spans="9:39" ht="15" x14ac:dyDescent="0.25">
      <c r="I423">
        <v>0.85754696887139814</v>
      </c>
      <c r="J423">
        <v>0.36465583913379734</v>
      </c>
      <c r="K423">
        <v>0.29201902748414377</v>
      </c>
      <c r="M423" s="11" t="str">
        <f t="shared" si="148"/>
        <v>IoU 100</v>
      </c>
      <c r="N423" s="11" t="str">
        <f t="shared" si="150"/>
        <v>IoU 50</v>
      </c>
      <c r="O423" s="11" t="str">
        <f t="shared" si="151"/>
        <v>IoU 50</v>
      </c>
      <c r="Q423">
        <v>0.77422223677646906</v>
      </c>
      <c r="R423">
        <v>0.51737609581097788</v>
      </c>
      <c r="S423">
        <v>0.58380913065430828</v>
      </c>
      <c r="U423" s="11" t="str">
        <f t="shared" si="158"/>
        <v>IoU 100</v>
      </c>
      <c r="V423" s="11" t="str">
        <f t="shared" si="152"/>
        <v>IoU 75</v>
      </c>
      <c r="W423" s="11" t="str">
        <f t="shared" si="153"/>
        <v>IoU 75</v>
      </c>
      <c r="Y423" s="11">
        <v>0.56531068956433739</v>
      </c>
      <c r="Z423" s="11">
        <v>0.412030522785505</v>
      </c>
      <c r="AA423" s="11">
        <v>0.2827105859319074</v>
      </c>
      <c r="AC423" s="11" t="str">
        <f t="shared" si="159"/>
        <v>IoU 75</v>
      </c>
      <c r="AD423" s="11" t="str">
        <f t="shared" si="154"/>
        <v>IoU 50</v>
      </c>
      <c r="AE423" s="11" t="str">
        <f t="shared" si="155"/>
        <v>IoU 50</v>
      </c>
      <c r="AG423" s="11">
        <v>0.46370715862241285</v>
      </c>
      <c r="AH423" s="11">
        <v>0.64835306751697297</v>
      </c>
      <c r="AI423" s="11">
        <v>0.31341509017814484</v>
      </c>
      <c r="AK423" s="11" t="str">
        <f t="shared" si="160"/>
        <v>IoU 50</v>
      </c>
      <c r="AL423" s="11" t="str">
        <f t="shared" si="156"/>
        <v>IoU 75</v>
      </c>
      <c r="AM423" s="11" t="str">
        <f t="shared" si="157"/>
        <v>IoU 50</v>
      </c>
    </row>
    <row r="424" spans="9:39" ht="15" x14ac:dyDescent="0.25">
      <c r="I424">
        <v>0.66097676729899502</v>
      </c>
      <c r="J424">
        <v>0.47178593931756496</v>
      </c>
      <c r="K424">
        <v>0.37815315315315318</v>
      </c>
      <c r="M424" s="11" t="str">
        <f t="shared" si="148"/>
        <v>IoU 75</v>
      </c>
      <c r="N424" s="11" t="str">
        <f t="shared" si="150"/>
        <v>IoU 50</v>
      </c>
      <c r="O424" s="11" t="str">
        <f t="shared" si="151"/>
        <v>IoU 50</v>
      </c>
      <c r="Q424">
        <v>0.41596058680820608</v>
      </c>
      <c r="R424">
        <v>0.10654913262045443</v>
      </c>
      <c r="S424">
        <v>0.38053037285200886</v>
      </c>
      <c r="U424" s="11" t="str">
        <f t="shared" si="158"/>
        <v>IoU 50</v>
      </c>
      <c r="V424" s="11" t="str">
        <f t="shared" si="152"/>
        <v>IoU 25</v>
      </c>
      <c r="W424" s="11" t="str">
        <f t="shared" si="153"/>
        <v>IoU 50</v>
      </c>
      <c r="Y424" s="11">
        <v>0</v>
      </c>
      <c r="Z424" s="11">
        <v>0.32763333660085003</v>
      </c>
      <c r="AA424" s="11">
        <v>0.33284493284493283</v>
      </c>
      <c r="AC424" s="11" t="str">
        <f t="shared" si="159"/>
        <v>IoU 25</v>
      </c>
      <c r="AD424" s="11" t="str">
        <f t="shared" si="154"/>
        <v>IoU 50</v>
      </c>
      <c r="AE424" s="11" t="str">
        <f t="shared" si="155"/>
        <v>IoU 50</v>
      </c>
      <c r="AG424" s="11">
        <v>0.46138909518026039</v>
      </c>
      <c r="AH424" s="11">
        <v>0.17074029514329966</v>
      </c>
      <c r="AI424" s="11">
        <v>0.28019562630388206</v>
      </c>
      <c r="AK424" s="11" t="str">
        <f t="shared" si="160"/>
        <v>IoU 50</v>
      </c>
      <c r="AL424" s="11" t="str">
        <f t="shared" si="156"/>
        <v>IoU 25</v>
      </c>
      <c r="AM424" s="11" t="str">
        <f t="shared" si="157"/>
        <v>IoU 50</v>
      </c>
    </row>
    <row r="425" spans="9:39" ht="15" x14ac:dyDescent="0.25">
      <c r="I425">
        <v>0.51262105893557386</v>
      </c>
      <c r="J425">
        <v>0.40861874090278438</v>
      </c>
      <c r="K425">
        <v>0.33342452879120998</v>
      </c>
      <c r="M425" s="11" t="str">
        <f t="shared" si="148"/>
        <v>IoU 75</v>
      </c>
      <c r="N425" s="11" t="str">
        <f t="shared" si="150"/>
        <v>IoU 50</v>
      </c>
      <c r="O425" s="11" t="str">
        <f t="shared" si="151"/>
        <v>IoU 50</v>
      </c>
      <c r="Q425">
        <v>0.56153961630424765</v>
      </c>
      <c r="R425">
        <v>0.37980792366954963</v>
      </c>
      <c r="S425">
        <v>0.4189170262328939</v>
      </c>
      <c r="U425" s="11" t="str">
        <f t="shared" si="158"/>
        <v>IoU 75</v>
      </c>
      <c r="V425" s="11" t="str">
        <f t="shared" si="152"/>
        <v>IoU 50</v>
      </c>
      <c r="W425" s="11" t="str">
        <f t="shared" si="153"/>
        <v>IoU 50</v>
      </c>
      <c r="Y425" s="11">
        <v>2.9961340206185568E-2</v>
      </c>
      <c r="Z425" s="11">
        <v>0</v>
      </c>
      <c r="AA425" s="11">
        <v>0.38096200485044462</v>
      </c>
      <c r="AC425" s="11" t="str">
        <f t="shared" si="159"/>
        <v>IoU 25</v>
      </c>
      <c r="AD425" s="11" t="str">
        <f t="shared" si="154"/>
        <v>IoU 25</v>
      </c>
      <c r="AE425" s="11" t="str">
        <f t="shared" si="155"/>
        <v>IoU 50</v>
      </c>
      <c r="AG425" s="11">
        <v>0.46569336525045124</v>
      </c>
      <c r="AH425" s="11">
        <v>0.48201540198451193</v>
      </c>
      <c r="AI425" s="11">
        <v>0.36408195042073699</v>
      </c>
      <c r="AK425" s="11" t="str">
        <f t="shared" si="160"/>
        <v>IoU 50</v>
      </c>
      <c r="AL425" s="11" t="str">
        <f t="shared" si="156"/>
        <v>IoU 50</v>
      </c>
      <c r="AM425" s="11" t="str">
        <f t="shared" si="157"/>
        <v>IoU 50</v>
      </c>
    </row>
    <row r="426" spans="9:39" ht="15" x14ac:dyDescent="0.25">
      <c r="I426">
        <v>0.38644652884005015</v>
      </c>
      <c r="J426">
        <v>0.40315122090638861</v>
      </c>
      <c r="K426">
        <v>5.092682926829268E-2</v>
      </c>
      <c r="M426" s="11" t="str">
        <f t="shared" si="148"/>
        <v>IoU 50</v>
      </c>
      <c r="N426" s="11" t="str">
        <f t="shared" si="150"/>
        <v>IoU 50</v>
      </c>
      <c r="O426" s="11" t="str">
        <f t="shared" si="151"/>
        <v>IoU 25</v>
      </c>
      <c r="Q426">
        <v>0.38383268831534972</v>
      </c>
      <c r="R426">
        <v>0.39753613964905898</v>
      </c>
      <c r="S426">
        <v>0.32732580364990449</v>
      </c>
      <c r="U426" s="11" t="str">
        <f t="shared" si="158"/>
        <v>IoU 50</v>
      </c>
      <c r="V426" s="11" t="str">
        <f t="shared" si="152"/>
        <v>IoU 50</v>
      </c>
      <c r="W426" s="11" t="str">
        <f t="shared" si="153"/>
        <v>IoU 50</v>
      </c>
      <c r="Y426" s="11">
        <v>0.75526447055184964</v>
      </c>
      <c r="Z426" s="11">
        <v>0.4332739420935412</v>
      </c>
      <c r="AA426" s="11">
        <v>0.32260302483696407</v>
      </c>
      <c r="AC426" s="11" t="str">
        <f t="shared" si="159"/>
        <v>IoU 100</v>
      </c>
      <c r="AD426" s="11" t="str">
        <f t="shared" si="154"/>
        <v>IoU 50</v>
      </c>
      <c r="AE426" s="11" t="str">
        <f t="shared" si="155"/>
        <v>IoU 50</v>
      </c>
      <c r="AG426" s="11">
        <v>0.75938687253198189</v>
      </c>
      <c r="AH426" s="11">
        <v>0.35875318002532725</v>
      </c>
      <c r="AI426" s="11">
        <v>0.19322335581129829</v>
      </c>
      <c r="AK426" s="11" t="str">
        <f t="shared" si="160"/>
        <v>IoU 100</v>
      </c>
      <c r="AL426" s="11" t="str">
        <f t="shared" si="156"/>
        <v>IoU 50</v>
      </c>
      <c r="AM426" s="11" t="str">
        <f t="shared" si="157"/>
        <v>IoU 25</v>
      </c>
    </row>
    <row r="427" spans="9:39" ht="15" x14ac:dyDescent="0.25">
      <c r="I427">
        <v>0.86500449396796419</v>
      </c>
      <c r="J427">
        <v>0.33209417596034696</v>
      </c>
      <c r="K427">
        <v>0.21577501212219169</v>
      </c>
      <c r="M427" s="11" t="str">
        <f t="shared" si="148"/>
        <v>IoU 100</v>
      </c>
      <c r="N427" s="11" t="str">
        <f t="shared" si="150"/>
        <v>IoU 50</v>
      </c>
      <c r="O427" s="11" t="str">
        <f t="shared" si="151"/>
        <v>IoU 25</v>
      </c>
      <c r="Q427">
        <v>0</v>
      </c>
      <c r="R427">
        <v>0</v>
      </c>
      <c r="S427">
        <v>0</v>
      </c>
      <c r="U427" s="11" t="str">
        <f t="shared" si="158"/>
        <v>IoU 25</v>
      </c>
      <c r="V427" s="11" t="str">
        <f t="shared" si="152"/>
        <v>IoU 25</v>
      </c>
      <c r="W427" s="11" t="str">
        <f t="shared" si="153"/>
        <v>IoU 25</v>
      </c>
      <c r="Y427" s="11">
        <v>0.59868337910230662</v>
      </c>
      <c r="Z427" s="11">
        <v>0.39176776322422679</v>
      </c>
      <c r="AA427" s="11">
        <v>0.40258659428329174</v>
      </c>
      <c r="AC427" s="11" t="str">
        <f t="shared" si="159"/>
        <v>IoU 75</v>
      </c>
      <c r="AD427" s="11" t="str">
        <f t="shared" si="154"/>
        <v>IoU 50</v>
      </c>
      <c r="AE427" s="11" t="str">
        <f t="shared" si="155"/>
        <v>IoU 50</v>
      </c>
      <c r="AG427" s="11">
        <v>0.41870522797344506</v>
      </c>
      <c r="AH427" s="11">
        <v>0.48535326547548252</v>
      </c>
      <c r="AI427" s="11">
        <v>0.32698585119513968</v>
      </c>
      <c r="AK427" s="11" t="str">
        <f t="shared" si="160"/>
        <v>IoU 50</v>
      </c>
      <c r="AL427" s="11" t="str">
        <f t="shared" si="156"/>
        <v>IoU 50</v>
      </c>
      <c r="AM427" s="11" t="str">
        <f t="shared" si="157"/>
        <v>IoU 50</v>
      </c>
    </row>
    <row r="428" spans="9:39" ht="15" x14ac:dyDescent="0.25">
      <c r="Q428"/>
      <c r="R428"/>
      <c r="S428"/>
    </row>
  </sheetData>
  <mergeCells count="25">
    <mergeCell ref="AG1:AM1"/>
    <mergeCell ref="AG2:AI2"/>
    <mergeCell ref="AK2:AM2"/>
    <mergeCell ref="Q1:W1"/>
    <mergeCell ref="Q2:S2"/>
    <mergeCell ref="U2:W2"/>
    <mergeCell ref="Y1:AE1"/>
    <mergeCell ref="Y2:AA2"/>
    <mergeCell ref="AC2:AE2"/>
    <mergeCell ref="A2:C2"/>
    <mergeCell ref="A1:G1"/>
    <mergeCell ref="E2:G2"/>
    <mergeCell ref="I1:O1"/>
    <mergeCell ref="I2:K2"/>
    <mergeCell ref="M2:O2"/>
    <mergeCell ref="A217:G217"/>
    <mergeCell ref="I217:O217"/>
    <mergeCell ref="AG4:AM4"/>
    <mergeCell ref="Q217:W217"/>
    <mergeCell ref="Y217:AE217"/>
    <mergeCell ref="AG217:AM217"/>
    <mergeCell ref="A4:G4"/>
    <mergeCell ref="I4:O4"/>
    <mergeCell ref="Q4:W4"/>
    <mergeCell ref="Y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Array Results</vt:lpstr>
      <vt:lpstr>Reference Values</vt:lpstr>
      <vt:lpstr>Hand IOUs</vt:lpstr>
      <vt:lpstr>Head IOUs</vt:lpstr>
      <vt:lpstr>handScores2_sides</vt:lpstr>
      <vt:lpstr>handScores2_top</vt:lpstr>
      <vt:lpstr>handScores3_sides</vt:lpstr>
      <vt:lpstr>handScores3_top</vt:lpstr>
      <vt:lpstr>handScores4_sides</vt:lpstr>
      <vt:lpstr>handScores4_top</vt:lpstr>
      <vt:lpstr>handScores5_sides</vt:lpstr>
      <vt:lpstr>handScores5_top</vt:lpstr>
      <vt:lpstr>IoU_Thresholds</vt:lpstr>
      <vt:lpstr>scores1_eyes</vt:lpstr>
      <vt:lpstr>scores1_face</vt:lpstr>
      <vt:lpstr>scores1_mouth</vt:lpstr>
      <vt:lpstr>scores2_eyes</vt:lpstr>
      <vt:lpstr>scores2_eyes2</vt:lpstr>
      <vt:lpstr>scores2_face</vt:lpstr>
      <vt:lpstr>scores2_face2</vt:lpstr>
      <vt:lpstr>scores2_mouth</vt:lpstr>
      <vt:lpstr>scores2_mouth2</vt:lpstr>
      <vt:lpstr>scores3_eyes</vt:lpstr>
      <vt:lpstr>scores3_eyes2</vt:lpstr>
      <vt:lpstr>scores3_face</vt:lpstr>
      <vt:lpstr>scores3_face2</vt:lpstr>
      <vt:lpstr>scores3_mouth</vt:lpstr>
      <vt:lpstr>scores3_mouth2</vt:lpstr>
      <vt:lpstr>scores4_eyes</vt:lpstr>
      <vt:lpstr>scores4_eyes2</vt:lpstr>
      <vt:lpstr>scores4_face</vt:lpstr>
      <vt:lpstr>scores4_face2</vt:lpstr>
      <vt:lpstr>scores4_mouth</vt:lpstr>
      <vt:lpstr>scores4_mouth2</vt:lpstr>
      <vt:lpstr>scores5_eyes</vt:lpstr>
      <vt:lpstr>scores5_eyes2</vt:lpstr>
      <vt:lpstr>scores5_face</vt:lpstr>
      <vt:lpstr>scores5_face2</vt:lpstr>
      <vt:lpstr>scores5_mouth</vt:lpstr>
      <vt:lpstr>scores5_mouth2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 Bell</cp:lastModifiedBy>
  <dcterms:created xsi:type="dcterms:W3CDTF">2023-10-29T14:29:03Z</dcterms:created>
  <dcterms:modified xsi:type="dcterms:W3CDTF">2023-10-29T20:36:18Z</dcterms:modified>
</cp:coreProperties>
</file>